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80" activeTab="4"/>
  </bookViews>
  <sheets>
    <sheet name="Income Statements" sheetId="1" r:id="rId1"/>
    <sheet name="Balance Sheet" sheetId="2" r:id="rId2"/>
    <sheet name="Cash Flow Statement" sheetId="3" r:id="rId3"/>
    <sheet name="Working Capital Ratio" sheetId="4" r:id="rId4"/>
    <sheet name="Turnover Breakdown" sheetId="5" r:id="rId5"/>
  </sheets>
  <definedNames/>
  <calcPr fullCalcOnLoad="1"/>
</workbook>
</file>

<file path=xl/comments4.xml><?xml version="1.0" encoding="utf-8"?>
<comments xmlns="http://schemas.openxmlformats.org/spreadsheetml/2006/main">
  <authors>
    <author>宗祥bryan.zong</author>
  </authors>
  <commentList>
    <comment ref="U8" authorId="0">
      <text>
        <r>
          <rPr>
            <b/>
            <sz val="9"/>
            <rFont val="宋体"/>
            <family val="0"/>
          </rPr>
          <t>宗祥bryan.zong:</t>
        </r>
        <r>
          <rPr>
            <sz val="9"/>
            <rFont val="宋体"/>
            <family val="0"/>
          </rPr>
          <t xml:space="preserve">
剔除成本中的折旧</t>
        </r>
      </text>
    </comment>
  </commentList>
</comments>
</file>

<file path=xl/sharedStrings.xml><?xml version="1.0" encoding="utf-8"?>
<sst xmlns="http://schemas.openxmlformats.org/spreadsheetml/2006/main" count="345" uniqueCount="117">
  <si>
    <t>Natural Beauty Bio-Technology Limited</t>
  </si>
  <si>
    <t>FY2002</t>
  </si>
  <si>
    <t>FY2003</t>
  </si>
  <si>
    <t>FY2004</t>
  </si>
  <si>
    <t>FY2005</t>
  </si>
  <si>
    <t>FY2006</t>
  </si>
  <si>
    <t>FY2007</t>
  </si>
  <si>
    <t>Expressed in HK$'000</t>
  </si>
  <si>
    <t>AUDITED</t>
  </si>
  <si>
    <t>Selected income statement data</t>
  </si>
  <si>
    <t>Turnover</t>
  </si>
  <si>
    <t>COGS</t>
  </si>
  <si>
    <t>Gross profit</t>
  </si>
  <si>
    <t>Operating profit</t>
  </si>
  <si>
    <t>Net income</t>
  </si>
  <si>
    <t>Dividend</t>
  </si>
  <si>
    <t>EPS - basic</t>
  </si>
  <si>
    <t>Profit to Equity Holders</t>
  </si>
  <si>
    <t>Minority interests</t>
  </si>
  <si>
    <t>Interest income</t>
  </si>
  <si>
    <t>Interest (expense)</t>
  </si>
  <si>
    <t>EBIT</t>
  </si>
  <si>
    <t>(Depreciation)</t>
  </si>
  <si>
    <t>(Amortisation)</t>
  </si>
  <si>
    <t>EBITDA</t>
  </si>
  <si>
    <t>Selected balance sheet data</t>
  </si>
  <si>
    <t>Inventories</t>
  </si>
  <si>
    <t>Trade receivables</t>
  </si>
  <si>
    <t>Total current assets</t>
  </si>
  <si>
    <t>Total assets</t>
  </si>
  <si>
    <t>Trade payables</t>
  </si>
  <si>
    <t>Total current liablities</t>
  </si>
  <si>
    <t>Total liablities</t>
  </si>
  <si>
    <t>Shareholders' equity</t>
  </si>
  <si>
    <t>FY2006</t>
  </si>
  <si>
    <t>Selected cash flow statement data</t>
  </si>
  <si>
    <t>Net Cash from operating activities</t>
  </si>
  <si>
    <t>Net Cash used in investing activities</t>
  </si>
  <si>
    <t>Net Cash from/ used in financing activities</t>
  </si>
  <si>
    <t>Net increase/(decrease) in cashflow</t>
  </si>
  <si>
    <t>Effect on exchange rate changes</t>
  </si>
  <si>
    <t>Income Statements</t>
  </si>
  <si>
    <t>Balance Sheet</t>
  </si>
  <si>
    <t>Cash Flow Statement</t>
  </si>
  <si>
    <t>Profitability ratio</t>
  </si>
  <si>
    <t>Gross margin</t>
  </si>
  <si>
    <t>Operating margin</t>
  </si>
  <si>
    <t>Net margin</t>
  </si>
  <si>
    <t>Dividend payout</t>
  </si>
  <si>
    <t>EBITDA margin</t>
  </si>
  <si>
    <t>FY2007</t>
  </si>
  <si>
    <t>Liquidity ratio</t>
  </si>
  <si>
    <t>Current ratio</t>
  </si>
  <si>
    <t>Quick ratio</t>
  </si>
  <si>
    <t>Operating ratio</t>
  </si>
  <si>
    <t>Inventory turnover</t>
  </si>
  <si>
    <t>A/R Turnover</t>
  </si>
  <si>
    <t>A/P Turnover</t>
  </si>
  <si>
    <t>Return on Equity (ROE)</t>
  </si>
  <si>
    <t>Return on Assets (ROA)</t>
  </si>
  <si>
    <t>Revenue Breakdown</t>
  </si>
  <si>
    <t>PRC</t>
  </si>
  <si>
    <t>Taiwan</t>
  </si>
  <si>
    <t>Others</t>
  </si>
  <si>
    <t>Total turnover</t>
  </si>
  <si>
    <t>Expressed in %</t>
  </si>
  <si>
    <t>Geographical Turnover Breakdown</t>
  </si>
  <si>
    <t>Working Capital Ratio</t>
  </si>
  <si>
    <t>FY2006</t>
  </si>
  <si>
    <t>FY2007</t>
  </si>
  <si>
    <t>FY2008</t>
  </si>
  <si>
    <t>FY2008</t>
  </si>
  <si>
    <t>FY2009</t>
  </si>
  <si>
    <t>FY2010</t>
  </si>
  <si>
    <t>Based on year end balance</t>
  </si>
  <si>
    <t>FY2011</t>
  </si>
  <si>
    <t>FY2012</t>
  </si>
  <si>
    <t>FY2013</t>
  </si>
  <si>
    <t>FY2013</t>
  </si>
  <si>
    <t>FY2013</t>
  </si>
  <si>
    <t>FY2013</t>
  </si>
  <si>
    <t>Taxation expenses/ (credit)</t>
  </si>
  <si>
    <t>FY2014</t>
  </si>
  <si>
    <t>FY2014</t>
  </si>
  <si>
    <t>FY2015</t>
  </si>
  <si>
    <t>FY2015</t>
  </si>
  <si>
    <t>FY2015</t>
  </si>
  <si>
    <t>FY2016</t>
  </si>
  <si>
    <t>FY2015</t>
  </si>
  <si>
    <t>EBIT margin</t>
  </si>
  <si>
    <t>FY2017</t>
  </si>
  <si>
    <t>FY2018</t>
  </si>
  <si>
    <t>FY2018</t>
  </si>
  <si>
    <t>FY2018</t>
  </si>
  <si>
    <t>FY2018</t>
  </si>
  <si>
    <t>FY2018</t>
  </si>
  <si>
    <t>FY2018</t>
  </si>
  <si>
    <t>FY2018</t>
  </si>
  <si>
    <t>FY2018</t>
  </si>
  <si>
    <t>FY2019</t>
  </si>
  <si>
    <t>FY2019</t>
  </si>
  <si>
    <t>Bank and cash balances at the end of the year</t>
  </si>
  <si>
    <t xml:space="preserve">Bank and cash balances </t>
  </si>
  <si>
    <t>Gearing</t>
  </si>
  <si>
    <t>Borrowings-current&amp;non-current</t>
  </si>
  <si>
    <t>Exchange of time deposits with maturities of over three
months but less than one year</t>
  </si>
  <si>
    <t>Bank and cash balances at the beginning of the year</t>
  </si>
  <si>
    <t>FY2020</t>
  </si>
  <si>
    <t>FY2021</t>
  </si>
  <si>
    <t>FY2022</t>
  </si>
  <si>
    <t>FY2020</t>
  </si>
  <si>
    <t>FY2021</t>
  </si>
  <si>
    <t>FY2022</t>
  </si>
  <si>
    <t>FY2020</t>
  </si>
  <si>
    <t>FY2021</t>
  </si>
  <si>
    <t>FY2022</t>
  </si>
  <si>
    <t>FY2023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</si>
</sst>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\ mmm\ yyyy"/>
    <numFmt numFmtId="197" formatCode="dd/mm/yyyy"/>
    <numFmt numFmtId="198" formatCode="#,##0.0000_);\(#,##0.0000\)"/>
    <numFmt numFmtId="199" formatCode="0.0%"/>
    <numFmt numFmtId="200" formatCode="#,##0.0_)&quot;times&quot;;\(#,##0.0\)"/>
    <numFmt numFmtId="201" formatCode="_(* #,##0_)&quot;days&quot;;_(* \(#,##0\);_(* &quot;-&quot;??_);_(@_)"/>
    <numFmt numFmtId="202" formatCode="_(* #,##0.000_);_(* \(#,##0.000\);_(* &quot;-&quot;??_);_(@_)"/>
    <numFmt numFmtId="203" formatCode="#,##0.00000_);\(#,##0.00000\)"/>
    <numFmt numFmtId="204" formatCode="#,##0.000_);\(#,##0.000\)"/>
    <numFmt numFmtId="205" formatCode="_(* #,##0.0000_);_(* \(#,##0.0000\);_(* &quot;-&quot;??_);_(@_)"/>
    <numFmt numFmtId="206" formatCode="#,##0.00_);[Red]\(#,##0.00\)"/>
    <numFmt numFmtId="207" formatCode="_(* #,##0.0_);_(* \(#,##0.0\);_(* &quot;-&quot;??_);_(@_)"/>
    <numFmt numFmtId="208" formatCode="_(* #,##0_);_(* \(#,##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9"/>
      <name val="細明體"/>
      <family val="3"/>
    </font>
    <font>
      <b/>
      <sz val="8"/>
      <color indexed="10"/>
      <name val="Arial"/>
      <family val="2"/>
    </font>
    <font>
      <sz val="10"/>
      <name val="細明體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49" fontId="2" fillId="0" borderId="0" xfId="49" applyNumberFormat="1" applyFont="1" applyAlignment="1">
      <alignment/>
    </xf>
    <xf numFmtId="196" fontId="2" fillId="0" borderId="0" xfId="49" applyNumberFormat="1" applyFont="1" applyAlignment="1">
      <alignment horizontal="left"/>
    </xf>
    <xf numFmtId="195" fontId="2" fillId="0" borderId="0" xfId="49" applyFont="1" applyAlignment="1">
      <alignment/>
    </xf>
    <xf numFmtId="49" fontId="3" fillId="0" borderId="0" xfId="49" applyNumberFormat="1" applyFont="1" applyAlignment="1">
      <alignment/>
    </xf>
    <xf numFmtId="37" fontId="2" fillId="0" borderId="0" xfId="49" applyNumberFormat="1" applyFont="1" applyAlignment="1">
      <alignment horizontal="right"/>
    </xf>
    <xf numFmtId="197" fontId="2" fillId="0" borderId="0" xfId="49" applyNumberFormat="1" applyFont="1" applyAlignment="1">
      <alignment horizontal="right"/>
    </xf>
    <xf numFmtId="197" fontId="4" fillId="0" borderId="0" xfId="49" applyNumberFormat="1" applyFont="1" applyAlignment="1">
      <alignment horizontal="right"/>
    </xf>
    <xf numFmtId="49" fontId="3" fillId="0" borderId="10" xfId="49" applyNumberFormat="1" applyFont="1" applyBorder="1" applyAlignment="1">
      <alignment/>
    </xf>
    <xf numFmtId="49" fontId="3" fillId="0" borderId="10" xfId="49" applyNumberFormat="1" applyFont="1" applyBorder="1" applyAlignment="1">
      <alignment horizontal="right"/>
    </xf>
    <xf numFmtId="49" fontId="2" fillId="0" borderId="11" xfId="49" applyNumberFormat="1" applyFont="1" applyBorder="1" applyAlignment="1">
      <alignment/>
    </xf>
    <xf numFmtId="37" fontId="2" fillId="0" borderId="11" xfId="49" applyNumberFormat="1" applyFont="1" applyBorder="1" applyAlignment="1">
      <alignment horizontal="right"/>
    </xf>
    <xf numFmtId="37" fontId="3" fillId="0" borderId="0" xfId="49" applyNumberFormat="1" applyFont="1" applyAlignment="1">
      <alignment horizontal="right"/>
    </xf>
    <xf numFmtId="49" fontId="5" fillId="0" borderId="0" xfId="49" applyNumberFormat="1" applyFont="1" applyAlignment="1">
      <alignment/>
    </xf>
    <xf numFmtId="49" fontId="2" fillId="0" borderId="0" xfId="49" applyNumberFormat="1" applyFont="1" applyAlignment="1">
      <alignment horizontal="left" indent="1"/>
    </xf>
    <xf numFmtId="37" fontId="2" fillId="0" borderId="0" xfId="49" applyNumberFormat="1" applyFont="1" applyFill="1" applyAlignment="1">
      <alignment horizontal="right"/>
    </xf>
    <xf numFmtId="49" fontId="2" fillId="0" borderId="0" xfId="49" applyNumberFormat="1" applyFont="1" applyBorder="1" applyAlignment="1">
      <alignment horizontal="left" indent="1"/>
    </xf>
    <xf numFmtId="198" fontId="2" fillId="0" borderId="0" xfId="49" applyNumberFormat="1" applyFont="1" applyBorder="1" applyAlignment="1">
      <alignment horizontal="right"/>
    </xf>
    <xf numFmtId="195" fontId="2" fillId="0" borderId="11" xfId="49" applyFont="1" applyBorder="1" applyAlignment="1">
      <alignment horizontal="right"/>
    </xf>
    <xf numFmtId="49" fontId="3" fillId="0" borderId="0" xfId="49" applyNumberFormat="1" applyFont="1" applyBorder="1" applyAlignment="1">
      <alignment horizontal="left" indent="1"/>
    </xf>
    <xf numFmtId="37" fontId="2" fillId="0" borderId="0" xfId="49" applyNumberFormat="1" applyFont="1" applyBorder="1" applyAlignment="1">
      <alignment horizontal="right"/>
    </xf>
    <xf numFmtId="49" fontId="2" fillId="0" borderId="0" xfId="0" applyNumberFormat="1" applyFont="1" applyFill="1" applyAlignment="1">
      <alignment/>
    </xf>
    <xf numFmtId="49" fontId="3" fillId="0" borderId="12" xfId="49" applyNumberFormat="1" applyFont="1" applyBorder="1" applyAlignment="1">
      <alignment horizontal="left" indent="1"/>
    </xf>
    <xf numFmtId="37" fontId="2" fillId="0" borderId="12" xfId="49" applyNumberFormat="1" applyFont="1" applyBorder="1" applyAlignment="1">
      <alignment horizontal="right"/>
    </xf>
    <xf numFmtId="37" fontId="3" fillId="0" borderId="11" xfId="49" applyNumberFormat="1" applyFont="1" applyBorder="1" applyAlignment="1">
      <alignment horizontal="right"/>
    </xf>
    <xf numFmtId="193" fontId="2" fillId="0" borderId="0" xfId="49" applyNumberFormat="1" applyFont="1" applyAlignment="1">
      <alignment horizontal="right"/>
    </xf>
    <xf numFmtId="49" fontId="2" fillId="0" borderId="12" xfId="49" applyNumberFormat="1" applyFont="1" applyBorder="1" applyAlignment="1">
      <alignment horizontal="left" indent="1"/>
    </xf>
    <xf numFmtId="193" fontId="2" fillId="0" borderId="12" xfId="49" applyNumberFormat="1" applyFont="1" applyBorder="1" applyAlignment="1">
      <alignment horizontal="right"/>
    </xf>
    <xf numFmtId="49" fontId="2" fillId="0" borderId="13" xfId="49" applyNumberFormat="1" applyFont="1" applyBorder="1" applyAlignment="1">
      <alignment/>
    </xf>
    <xf numFmtId="37" fontId="2" fillId="0" borderId="13" xfId="49" applyNumberFormat="1" applyFont="1" applyBorder="1" applyAlignment="1">
      <alignment horizontal="right"/>
    </xf>
    <xf numFmtId="49" fontId="3" fillId="0" borderId="13" xfId="49" applyNumberFormat="1" applyFont="1" applyBorder="1" applyAlignment="1">
      <alignment horizontal="right"/>
    </xf>
    <xf numFmtId="49" fontId="3" fillId="0" borderId="12" xfId="49" applyNumberFormat="1" applyFont="1" applyBorder="1" applyAlignment="1">
      <alignment/>
    </xf>
    <xf numFmtId="199" fontId="2" fillId="0" borderId="0" xfId="33" applyNumberFormat="1" applyFont="1" applyAlignment="1">
      <alignment horizontal="left" indent="1"/>
    </xf>
    <xf numFmtId="199" fontId="2" fillId="0" borderId="0" xfId="33" applyNumberFormat="1" applyFont="1" applyAlignment="1">
      <alignment horizontal="right"/>
    </xf>
    <xf numFmtId="199" fontId="2" fillId="0" borderId="0" xfId="33" applyNumberFormat="1" applyFont="1" applyBorder="1" applyAlignment="1">
      <alignment horizontal="left" indent="1"/>
    </xf>
    <xf numFmtId="199" fontId="2" fillId="0" borderId="0" xfId="33" applyNumberFormat="1" applyFont="1" applyBorder="1" applyAlignment="1">
      <alignment horizontal="right"/>
    </xf>
    <xf numFmtId="199" fontId="2" fillId="0" borderId="12" xfId="33" applyNumberFormat="1" applyFont="1" applyBorder="1" applyAlignment="1">
      <alignment horizontal="left" indent="1"/>
    </xf>
    <xf numFmtId="199" fontId="2" fillId="0" borderId="12" xfId="33" applyNumberFormat="1" applyFont="1" applyBorder="1" applyAlignment="1">
      <alignment horizontal="right"/>
    </xf>
    <xf numFmtId="195" fontId="2" fillId="0" borderId="11" xfId="49" applyFont="1" applyFill="1" applyBorder="1" applyAlignment="1">
      <alignment horizontal="right"/>
    </xf>
    <xf numFmtId="37" fontId="2" fillId="0" borderId="0" xfId="49" applyNumberFormat="1" applyFont="1" applyFill="1" applyBorder="1" applyAlignment="1">
      <alignment horizontal="right"/>
    </xf>
    <xf numFmtId="37" fontId="2" fillId="0" borderId="11" xfId="49" applyNumberFormat="1" applyFont="1" applyFill="1" applyBorder="1" applyAlignment="1">
      <alignment horizontal="right"/>
    </xf>
    <xf numFmtId="37" fontId="2" fillId="0" borderId="12" xfId="49" applyNumberFormat="1" applyFont="1" applyFill="1" applyBorder="1" applyAlignment="1">
      <alignment horizontal="right"/>
    </xf>
    <xf numFmtId="200" fontId="2" fillId="0" borderId="0" xfId="49" applyNumberFormat="1" applyFont="1" applyAlignment="1">
      <alignment horizontal="right"/>
    </xf>
    <xf numFmtId="201" fontId="2" fillId="0" borderId="0" xfId="49" applyNumberFormat="1" applyFont="1" applyAlignment="1">
      <alignment horizontal="right"/>
    </xf>
    <xf numFmtId="49" fontId="2" fillId="0" borderId="10" xfId="49" applyNumberFormat="1" applyFont="1" applyBorder="1" applyAlignment="1">
      <alignment/>
    </xf>
    <xf numFmtId="193" fontId="3" fillId="0" borderId="12" xfId="49" applyNumberFormat="1" applyFont="1" applyBorder="1" applyAlignment="1">
      <alignment horizontal="right"/>
    </xf>
    <xf numFmtId="199" fontId="3" fillId="0" borderId="12" xfId="33" applyNumberFormat="1" applyFont="1" applyBorder="1" applyAlignment="1">
      <alignment horizontal="right"/>
    </xf>
    <xf numFmtId="49" fontId="7" fillId="0" borderId="0" xfId="49" applyNumberFormat="1" applyFont="1" applyAlignment="1">
      <alignment/>
    </xf>
    <xf numFmtId="0" fontId="8" fillId="0" borderId="0" xfId="0" applyFont="1" applyAlignment="1">
      <alignment/>
    </xf>
    <xf numFmtId="49" fontId="2" fillId="0" borderId="0" xfId="49" applyNumberFormat="1" applyFont="1" applyFill="1" applyAlignment="1">
      <alignment horizontal="left" indent="1"/>
    </xf>
    <xf numFmtId="199" fontId="2" fillId="0" borderId="0" xfId="33" applyNumberFormat="1" applyFont="1" applyAlignment="1">
      <alignment/>
    </xf>
    <xf numFmtId="193" fontId="2" fillId="0" borderId="0" xfId="49" applyNumberFormat="1" applyFont="1" applyFill="1" applyAlignment="1">
      <alignment horizontal="right"/>
    </xf>
    <xf numFmtId="199" fontId="2" fillId="0" borderId="0" xfId="33" applyNumberFormat="1" applyFont="1" applyFill="1" applyBorder="1" applyAlignment="1">
      <alignment horizontal="right"/>
    </xf>
    <xf numFmtId="201" fontId="2" fillId="0" borderId="0" xfId="49" applyNumberFormat="1" applyFont="1" applyFill="1" applyAlignment="1">
      <alignment horizontal="right"/>
    </xf>
    <xf numFmtId="195" fontId="2" fillId="0" borderId="0" xfId="49" applyFont="1" applyFill="1" applyAlignment="1">
      <alignment/>
    </xf>
    <xf numFmtId="49" fontId="3" fillId="0" borderId="10" xfId="49" applyNumberFormat="1" applyFont="1" applyFill="1" applyBorder="1" applyAlignment="1">
      <alignment horizontal="right"/>
    </xf>
    <xf numFmtId="37" fontId="3" fillId="0" borderId="0" xfId="49" applyNumberFormat="1" applyFont="1" applyFill="1" applyAlignment="1">
      <alignment horizontal="right"/>
    </xf>
    <xf numFmtId="198" fontId="2" fillId="0" borderId="0" xfId="49" applyNumberFormat="1" applyFont="1" applyFill="1" applyBorder="1" applyAlignment="1">
      <alignment horizontal="right"/>
    </xf>
    <xf numFmtId="49" fontId="3" fillId="0" borderId="13" xfId="49" applyNumberFormat="1" applyFont="1" applyFill="1" applyBorder="1" applyAlignment="1">
      <alignment horizontal="right"/>
    </xf>
    <xf numFmtId="199" fontId="2" fillId="0" borderId="0" xfId="33" applyNumberFormat="1" applyFont="1" applyFill="1" applyAlignment="1">
      <alignment horizontal="right"/>
    </xf>
    <xf numFmtId="199" fontId="2" fillId="0" borderId="12" xfId="33" applyNumberFormat="1" applyFont="1" applyFill="1" applyBorder="1" applyAlignment="1">
      <alignment horizontal="right"/>
    </xf>
    <xf numFmtId="49" fontId="2" fillId="0" borderId="0" xfId="49" applyNumberFormat="1" applyFont="1" applyAlignment="1">
      <alignment wrapText="1"/>
    </xf>
    <xf numFmtId="37" fontId="3" fillId="0" borderId="11" xfId="49" applyNumberFormat="1" applyFont="1" applyFill="1" applyBorder="1" applyAlignment="1">
      <alignment horizontal="right"/>
    </xf>
    <xf numFmtId="193" fontId="2" fillId="0" borderId="12" xfId="49" applyNumberFormat="1" applyFont="1" applyFill="1" applyBorder="1" applyAlignment="1">
      <alignment horizontal="right"/>
    </xf>
    <xf numFmtId="200" fontId="2" fillId="0" borderId="0" xfId="49" applyNumberFormat="1" applyFont="1" applyFill="1" applyAlignment="1">
      <alignment horizontal="right"/>
    </xf>
    <xf numFmtId="37" fontId="2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93" fontId="3" fillId="0" borderId="12" xfId="49" applyNumberFormat="1" applyFont="1" applyFill="1" applyBorder="1" applyAlignment="1">
      <alignment horizontal="right"/>
    </xf>
    <xf numFmtId="199" fontId="3" fillId="0" borderId="12" xfId="33" applyNumberFormat="1" applyFont="1" applyFill="1" applyBorder="1" applyAlignment="1">
      <alignment horizontal="right"/>
    </xf>
    <xf numFmtId="195" fontId="2" fillId="0" borderId="0" xfId="49" applyFont="1" applyFill="1" applyAlignment="1">
      <alignment horizontal="righ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">
      <pane xSplit="1" topLeftCell="N1" activePane="topRight" state="frozen"/>
      <selection pane="topLeft" activeCell="A1" sqref="A1"/>
      <selection pane="topRight" activeCell="Y29" sqref="Y29"/>
    </sheetView>
  </sheetViews>
  <sheetFormatPr defaultColWidth="12.8515625" defaultRowHeight="12.75" customHeight="1"/>
  <cols>
    <col min="1" max="1" width="23.7109375" style="1" customWidth="1"/>
    <col min="2" max="2" width="12.00390625" style="1" customWidth="1"/>
    <col min="3" max="4" width="12.00390625" style="3" customWidth="1"/>
    <col min="5" max="5" width="10.8515625" style="3" customWidth="1"/>
    <col min="6" max="11" width="12.7109375" style="3" customWidth="1"/>
    <col min="12" max="17" width="12.8515625" style="3" customWidth="1"/>
    <col min="18" max="18" width="13.57421875" style="3" customWidth="1"/>
    <col min="19" max="22" width="13.57421875" style="54" customWidth="1"/>
    <col min="23" max="16384" width="12.8515625" style="3" customWidth="1"/>
  </cols>
  <sheetData>
    <row r="1" spans="1:11" ht="12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12.75" customHeight="1">
      <c r="A2" s="47" t="s">
        <v>41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12.75" customHeight="1" thickBot="1">
      <c r="A3" s="3"/>
      <c r="B3" s="5"/>
      <c r="C3" s="5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3" ht="12.75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70</v>
      </c>
      <c r="I4" s="9" t="s">
        <v>72</v>
      </c>
      <c r="J4" s="9" t="s">
        <v>73</v>
      </c>
      <c r="K4" s="9" t="s">
        <v>75</v>
      </c>
      <c r="L4" s="9" t="s">
        <v>76</v>
      </c>
      <c r="M4" s="9" t="s">
        <v>78</v>
      </c>
      <c r="N4" s="9" t="s">
        <v>82</v>
      </c>
      <c r="O4" s="9" t="s">
        <v>84</v>
      </c>
      <c r="P4" s="9" t="s">
        <v>87</v>
      </c>
      <c r="Q4" s="9" t="s">
        <v>90</v>
      </c>
      <c r="R4" s="9" t="s">
        <v>91</v>
      </c>
      <c r="S4" s="55" t="s">
        <v>99</v>
      </c>
      <c r="T4" s="55" t="s">
        <v>107</v>
      </c>
      <c r="U4" s="55" t="s">
        <v>108</v>
      </c>
      <c r="V4" s="55" t="s">
        <v>109</v>
      </c>
      <c r="W4" s="55" t="s">
        <v>116</v>
      </c>
    </row>
    <row r="5" spans="1:23" ht="12.75" customHeight="1">
      <c r="A5" s="10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0"/>
      <c r="T5" s="40"/>
      <c r="U5" s="40"/>
      <c r="V5" s="40"/>
      <c r="W5" s="40"/>
    </row>
    <row r="6" spans="2:23" ht="12.75" customHeight="1">
      <c r="B6" s="12" t="s">
        <v>8</v>
      </c>
      <c r="C6" s="12" t="s">
        <v>8</v>
      </c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2" t="s">
        <v>8</v>
      </c>
      <c r="N6" s="12" t="s">
        <v>8</v>
      </c>
      <c r="O6" s="12" t="s">
        <v>8</v>
      </c>
      <c r="P6" s="12" t="s">
        <v>8</v>
      </c>
      <c r="Q6" s="12" t="s">
        <v>8</v>
      </c>
      <c r="R6" s="12" t="s">
        <v>8</v>
      </c>
      <c r="S6" s="56" t="s">
        <v>8</v>
      </c>
      <c r="T6" s="56" t="s">
        <v>8</v>
      </c>
      <c r="U6" s="56" t="s">
        <v>8</v>
      </c>
      <c r="V6" s="56" t="s">
        <v>8</v>
      </c>
      <c r="W6" s="56" t="s">
        <v>8</v>
      </c>
    </row>
    <row r="7" spans="1:23" ht="12.75" customHeight="1">
      <c r="A7" s="1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5"/>
      <c r="T7" s="15"/>
      <c r="U7" s="15"/>
      <c r="V7" s="15"/>
      <c r="W7" s="15"/>
    </row>
    <row r="8" spans="1:23" ht="12.75" customHeight="1">
      <c r="A8" s="14" t="s">
        <v>10</v>
      </c>
      <c r="B8" s="5">
        <v>323251</v>
      </c>
      <c r="C8" s="5">
        <v>320086</v>
      </c>
      <c r="D8" s="5">
        <v>358142</v>
      </c>
      <c r="E8" s="5">
        <v>357916</v>
      </c>
      <c r="F8" s="5">
        <v>363746</v>
      </c>
      <c r="G8" s="5">
        <v>450147</v>
      </c>
      <c r="H8" s="5">
        <v>592701</v>
      </c>
      <c r="I8" s="5">
        <v>538092</v>
      </c>
      <c r="J8" s="5">
        <v>485389</v>
      </c>
      <c r="K8" s="5">
        <v>591295</v>
      </c>
      <c r="L8" s="5">
        <v>483438</v>
      </c>
      <c r="M8" s="5">
        <v>439421</v>
      </c>
      <c r="N8" s="5">
        <v>505761</v>
      </c>
      <c r="O8" s="5">
        <v>506913</v>
      </c>
      <c r="P8" s="5">
        <v>475225</v>
      </c>
      <c r="Q8" s="5">
        <v>399579.3745387466</v>
      </c>
      <c r="R8" s="5">
        <v>369525.13155</v>
      </c>
      <c r="S8" s="15">
        <v>438413</v>
      </c>
      <c r="T8" s="15">
        <v>410673</v>
      </c>
      <c r="U8" s="15">
        <v>487810</v>
      </c>
      <c r="V8" s="15">
        <v>335880</v>
      </c>
      <c r="W8" s="15">
        <v>336015</v>
      </c>
    </row>
    <row r="9" spans="1:23" ht="12.75" customHeight="1">
      <c r="A9" s="14" t="s">
        <v>11</v>
      </c>
      <c r="B9" s="5">
        <v>86776</v>
      </c>
      <c r="C9" s="5">
        <v>61192</v>
      </c>
      <c r="D9" s="5">
        <v>82291</v>
      </c>
      <c r="E9" s="5">
        <v>73309</v>
      </c>
      <c r="F9" s="5">
        <v>68725</v>
      </c>
      <c r="G9" s="5">
        <v>77573</v>
      </c>
      <c r="H9" s="5">
        <v>86102</v>
      </c>
      <c r="I9" s="5">
        <v>122913</v>
      </c>
      <c r="J9" s="5">
        <v>130007</v>
      </c>
      <c r="K9" s="5">
        <v>122162</v>
      </c>
      <c r="L9" s="5">
        <v>103592</v>
      </c>
      <c r="M9" s="5">
        <v>106321</v>
      </c>
      <c r="N9" s="5">
        <v>116981</v>
      </c>
      <c r="O9" s="5">
        <v>109419</v>
      </c>
      <c r="P9" s="5">
        <v>122366</v>
      </c>
      <c r="Q9" s="5">
        <v>94467.3700389748</v>
      </c>
      <c r="R9" s="5">
        <v>146664.765248283</v>
      </c>
      <c r="S9" s="15">
        <v>172843</v>
      </c>
      <c r="T9" s="15">
        <v>170248</v>
      </c>
      <c r="U9" s="15">
        <v>181812</v>
      </c>
      <c r="V9" s="15">
        <v>146750</v>
      </c>
      <c r="W9" s="15">
        <v>135670</v>
      </c>
    </row>
    <row r="10" spans="1:23" ht="12.75" customHeight="1">
      <c r="A10" s="14" t="s">
        <v>12</v>
      </c>
      <c r="B10" s="5">
        <f aca="true" t="shared" si="0" ref="B10:I10">B8-B9</f>
        <v>236475</v>
      </c>
      <c r="C10" s="5">
        <f t="shared" si="0"/>
        <v>258894</v>
      </c>
      <c r="D10" s="5">
        <f t="shared" si="0"/>
        <v>275851</v>
      </c>
      <c r="E10" s="5">
        <f t="shared" si="0"/>
        <v>284607</v>
      </c>
      <c r="F10" s="5">
        <f t="shared" si="0"/>
        <v>295021</v>
      </c>
      <c r="G10" s="5">
        <f t="shared" si="0"/>
        <v>372574</v>
      </c>
      <c r="H10" s="5">
        <f t="shared" si="0"/>
        <v>506599</v>
      </c>
      <c r="I10" s="5">
        <f t="shared" si="0"/>
        <v>415179</v>
      </c>
      <c r="J10" s="5">
        <v>355382</v>
      </c>
      <c r="K10" s="5">
        <v>469133</v>
      </c>
      <c r="L10" s="5">
        <v>379846</v>
      </c>
      <c r="M10" s="5">
        <v>333100</v>
      </c>
      <c r="N10" s="5">
        <v>388780</v>
      </c>
      <c r="O10" s="5">
        <v>397494</v>
      </c>
      <c r="P10" s="5">
        <v>352859</v>
      </c>
      <c r="Q10" s="5">
        <v>305112.0044997718</v>
      </c>
      <c r="R10" s="5">
        <v>222860.366301717</v>
      </c>
      <c r="S10" s="15">
        <f>S8-S9</f>
        <v>265570</v>
      </c>
      <c r="T10" s="15">
        <f>T8-T9</f>
        <v>240425</v>
      </c>
      <c r="U10" s="15">
        <f>U8-U9</f>
        <v>305998</v>
      </c>
      <c r="V10" s="15">
        <f>V8-V9</f>
        <v>189130</v>
      </c>
      <c r="W10" s="15">
        <f>W8-W9</f>
        <v>200345</v>
      </c>
    </row>
    <row r="11" spans="1:23" ht="12.75" customHeight="1">
      <c r="A11" s="14" t="s">
        <v>13</v>
      </c>
      <c r="B11" s="5">
        <v>94574</v>
      </c>
      <c r="C11" s="5">
        <v>83531</v>
      </c>
      <c r="D11" s="15">
        <v>99395</v>
      </c>
      <c r="E11" s="15">
        <v>119905</v>
      </c>
      <c r="F11" s="15">
        <v>174630</v>
      </c>
      <c r="G11" s="15">
        <v>208315</v>
      </c>
      <c r="H11" s="15">
        <v>308477</v>
      </c>
      <c r="I11" s="15">
        <v>186753</v>
      </c>
      <c r="J11" s="15">
        <v>75848</v>
      </c>
      <c r="K11" s="15">
        <v>173647</v>
      </c>
      <c r="L11" s="15">
        <v>155251</v>
      </c>
      <c r="M11" s="15">
        <v>83052</v>
      </c>
      <c r="N11" s="15">
        <v>116274</v>
      </c>
      <c r="O11" s="15">
        <v>170392</v>
      </c>
      <c r="P11" s="15">
        <v>196217</v>
      </c>
      <c r="Q11" s="15">
        <v>146737.738805117</v>
      </c>
      <c r="R11" s="15">
        <v>39157</v>
      </c>
      <c r="S11" s="15">
        <v>38331</v>
      </c>
      <c r="T11" s="15">
        <v>10641</v>
      </c>
      <c r="U11" s="15">
        <v>50480</v>
      </c>
      <c r="V11" s="15">
        <v>-19205</v>
      </c>
      <c r="W11" s="15">
        <v>-3738</v>
      </c>
    </row>
    <row r="12" spans="1:23" ht="12.75" customHeight="1">
      <c r="A12" s="14" t="s">
        <v>14</v>
      </c>
      <c r="B12" s="5">
        <v>68258</v>
      </c>
      <c r="C12" s="5">
        <v>54142</v>
      </c>
      <c r="D12" s="5">
        <v>63232</v>
      </c>
      <c r="E12" s="5">
        <v>81011</v>
      </c>
      <c r="F12" s="5">
        <v>122812</v>
      </c>
      <c r="G12" s="5">
        <v>178781</v>
      </c>
      <c r="H12" s="5">
        <v>238579</v>
      </c>
      <c r="I12" s="5">
        <v>143923</v>
      </c>
      <c r="J12" s="5">
        <v>30710</v>
      </c>
      <c r="K12" s="5">
        <v>115172</v>
      </c>
      <c r="L12" s="5">
        <v>119108</v>
      </c>
      <c r="M12" s="5">
        <v>58459</v>
      </c>
      <c r="N12" s="5">
        <v>71480</v>
      </c>
      <c r="O12" s="5">
        <v>136830</v>
      </c>
      <c r="P12" s="5">
        <v>148403</v>
      </c>
      <c r="Q12" s="5">
        <v>105388.2662785954</v>
      </c>
      <c r="R12" s="5">
        <v>26259.18721542901</v>
      </c>
      <c r="S12" s="15">
        <v>21908</v>
      </c>
      <c r="T12" s="15">
        <v>7758</v>
      </c>
      <c r="U12" s="15">
        <v>35264</v>
      </c>
      <c r="V12" s="15">
        <v>-30472</v>
      </c>
      <c r="W12" s="15">
        <v>-15111</v>
      </c>
    </row>
    <row r="13" spans="1:23" ht="12.75" customHeight="1">
      <c r="A13" s="14" t="s">
        <v>15</v>
      </c>
      <c r="B13" s="5">
        <v>55000</v>
      </c>
      <c r="C13" s="5">
        <v>42000</v>
      </c>
      <c r="D13" s="5">
        <v>50000</v>
      </c>
      <c r="E13" s="5">
        <v>66000</v>
      </c>
      <c r="F13" s="5">
        <v>125000</v>
      </c>
      <c r="G13" s="5">
        <v>300000</v>
      </c>
      <c r="H13" s="15">
        <v>167053</v>
      </c>
      <c r="I13" s="15">
        <v>150139</v>
      </c>
      <c r="J13" s="15">
        <v>160169</v>
      </c>
      <c r="K13" s="15">
        <v>170179</v>
      </c>
      <c r="L13" s="15">
        <v>45648</v>
      </c>
      <c r="M13" s="15">
        <v>52655</v>
      </c>
      <c r="N13" s="15">
        <f>42044+63826.978</f>
        <v>105870.978</v>
      </c>
      <c r="O13" s="15">
        <f>2002100932*0.0392/1000+2002100932*0.0292/1000</f>
        <v>136943.7037488</v>
      </c>
      <c r="P13" s="15">
        <v>247660.223</v>
      </c>
      <c r="Q13" s="15">
        <v>112117.307162</v>
      </c>
      <c r="R13" s="15">
        <v>29031</v>
      </c>
      <c r="S13" s="15">
        <v>0</v>
      </c>
      <c r="T13" s="15">
        <v>6006</v>
      </c>
      <c r="U13" s="15">
        <v>6006</v>
      </c>
      <c r="V13" s="15">
        <v>0</v>
      </c>
      <c r="W13" s="15">
        <v>0</v>
      </c>
    </row>
    <row r="14" spans="1:23" ht="12.75" customHeight="1">
      <c r="A14" s="16" t="s">
        <v>16</v>
      </c>
      <c r="B14" s="17">
        <v>0.036</v>
      </c>
      <c r="C14" s="17">
        <v>0.027071</v>
      </c>
      <c r="D14" s="17">
        <f>ROUND(D16/2000000,3)</f>
        <v>0.032</v>
      </c>
      <c r="E14" s="17">
        <f>ROUND(E16/2000000,3)</f>
        <v>0.041</v>
      </c>
      <c r="F14" s="17">
        <f>ROUND(F16/2000000,3)</f>
        <v>0.062</v>
      </c>
      <c r="G14" s="17">
        <f>ROUND(G16/2000000,3)</f>
        <v>0.089</v>
      </c>
      <c r="H14" s="17">
        <f>ROUND(H16/2000000,3)</f>
        <v>0.119</v>
      </c>
      <c r="I14" s="17">
        <f aca="true" t="shared" si="1" ref="I14:N14">ROUND(I16/2002100,3)</f>
        <v>0.075</v>
      </c>
      <c r="J14" s="17">
        <f t="shared" si="1"/>
        <v>0.016</v>
      </c>
      <c r="K14" s="17">
        <f t="shared" si="1"/>
        <v>0.058</v>
      </c>
      <c r="L14" s="17">
        <f t="shared" si="1"/>
        <v>0.06</v>
      </c>
      <c r="M14" s="17">
        <f t="shared" si="1"/>
        <v>0.029</v>
      </c>
      <c r="N14" s="17">
        <f t="shared" si="1"/>
        <v>0.036</v>
      </c>
      <c r="O14" s="17">
        <f>ROUND(O16/2002100,3)</f>
        <v>0.068</v>
      </c>
      <c r="P14" s="17">
        <f>ROUND(P16/2002100,3)</f>
        <v>0.074</v>
      </c>
      <c r="Q14" s="17">
        <f>ROUND(Q16/2002100,3)</f>
        <v>0.053</v>
      </c>
      <c r="R14" s="17">
        <f>ROUND(R16/2002100,3)</f>
        <v>0.013</v>
      </c>
      <c r="S14" s="57">
        <f>ROUND(S16/2002100,3)</f>
        <v>0.011</v>
      </c>
      <c r="T14" s="57">
        <f>ROUND(T16/2002100,4)</f>
        <v>0.0039</v>
      </c>
      <c r="U14" s="57">
        <f>ROUND(U16/2002100,4)</f>
        <v>0.0176</v>
      </c>
      <c r="V14" s="57">
        <f>ROUND(V16/2002100,4)</f>
        <v>-0.0152</v>
      </c>
      <c r="W14" s="57">
        <f>ROUND(W16/2002100,4)</f>
        <v>-0.0075</v>
      </c>
    </row>
    <row r="15" spans="1:23" ht="12.7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7"/>
      <c r="T15" s="57"/>
      <c r="U15" s="57"/>
      <c r="V15" s="57"/>
      <c r="W15" s="57"/>
    </row>
    <row r="16" spans="1:23" ht="12.75" customHeight="1">
      <c r="A16" s="14" t="s">
        <v>17</v>
      </c>
      <c r="B16" s="5">
        <v>68258</v>
      </c>
      <c r="C16" s="5">
        <v>54142</v>
      </c>
      <c r="D16" s="5">
        <v>63262</v>
      </c>
      <c r="E16" s="5">
        <v>81092</v>
      </c>
      <c r="F16" s="5">
        <v>123198</v>
      </c>
      <c r="G16" s="5">
        <v>178707</v>
      </c>
      <c r="H16" s="5">
        <v>238477</v>
      </c>
      <c r="I16" s="5">
        <v>149636</v>
      </c>
      <c r="J16" s="5">
        <v>31303</v>
      </c>
      <c r="K16" s="5">
        <v>115123</v>
      </c>
      <c r="L16" s="5">
        <v>119268</v>
      </c>
      <c r="M16" s="5">
        <v>58269</v>
      </c>
      <c r="N16" s="5">
        <v>71480</v>
      </c>
      <c r="O16" s="5">
        <v>136830</v>
      </c>
      <c r="P16" s="5">
        <v>148403</v>
      </c>
      <c r="Q16" s="5">
        <v>105388.2662785954</v>
      </c>
      <c r="R16" s="5">
        <v>26259.18721542901</v>
      </c>
      <c r="S16" s="15">
        <v>21908</v>
      </c>
      <c r="T16" s="15">
        <f>T12</f>
        <v>7758</v>
      </c>
      <c r="U16" s="15">
        <f>U12</f>
        <v>35264</v>
      </c>
      <c r="V16" s="15">
        <f>V12</f>
        <v>-30472</v>
      </c>
      <c r="W16" s="15">
        <f>W12</f>
        <v>-15111</v>
      </c>
    </row>
    <row r="17" spans="1:23" ht="12.75" customHeight="1">
      <c r="A17" s="14" t="s">
        <v>18</v>
      </c>
      <c r="B17" s="5">
        <v>-1335</v>
      </c>
      <c r="C17" s="5">
        <v>-701</v>
      </c>
      <c r="D17" s="5">
        <v>-537</v>
      </c>
      <c r="E17" s="5">
        <v>-81</v>
      </c>
      <c r="F17" s="5">
        <v>-386</v>
      </c>
      <c r="G17" s="5">
        <v>74</v>
      </c>
      <c r="H17" s="5">
        <v>102</v>
      </c>
      <c r="I17" s="5">
        <v>-5713</v>
      </c>
      <c r="J17" s="5">
        <v>-593</v>
      </c>
      <c r="K17" s="5">
        <v>49</v>
      </c>
      <c r="L17" s="5">
        <v>-160</v>
      </c>
      <c r="M17" s="5">
        <v>190</v>
      </c>
      <c r="N17" s="5">
        <v>0</v>
      </c>
      <c r="O17" s="5">
        <v>0</v>
      </c>
      <c r="P17" s="5"/>
      <c r="Q17" s="5">
        <v>0</v>
      </c>
      <c r="R17" s="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</row>
    <row r="18" spans="1:23" ht="12.75" customHeight="1">
      <c r="A18" s="49" t="s">
        <v>81</v>
      </c>
      <c r="B18" s="5">
        <v>27174</v>
      </c>
      <c r="C18" s="5">
        <v>30084</v>
      </c>
      <c r="D18" s="5">
        <v>36333</v>
      </c>
      <c r="E18" s="5">
        <v>38834</v>
      </c>
      <c r="F18" s="5">
        <v>51641</v>
      </c>
      <c r="G18" s="5">
        <v>29248</v>
      </c>
      <c r="H18" s="5">
        <v>69898</v>
      </c>
      <c r="I18" s="5">
        <v>42830</v>
      </c>
      <c r="J18" s="5">
        <v>45138</v>
      </c>
      <c r="K18" s="5">
        <v>58475</v>
      </c>
      <c r="L18" s="5">
        <v>36143</v>
      </c>
      <c r="M18" s="5">
        <v>24593</v>
      </c>
      <c r="N18" s="5">
        <v>44794</v>
      </c>
      <c r="O18" s="5">
        <v>33562</v>
      </c>
      <c r="P18" s="5">
        <v>47814</v>
      </c>
      <c r="Q18" s="5">
        <v>41350.4725265216</v>
      </c>
      <c r="R18" s="5">
        <v>12898</v>
      </c>
      <c r="S18" s="15">
        <v>15094</v>
      </c>
      <c r="T18" s="15">
        <v>1225</v>
      </c>
      <c r="U18" s="15">
        <v>13195</v>
      </c>
      <c r="V18" s="15">
        <v>6924</v>
      </c>
      <c r="W18" s="15">
        <v>3242</v>
      </c>
    </row>
    <row r="19" spans="1:23" ht="12.75" customHeight="1">
      <c r="A19" s="14" t="s">
        <v>19</v>
      </c>
      <c r="B19" s="5">
        <v>-1903</v>
      </c>
      <c r="C19" s="5">
        <v>-930</v>
      </c>
      <c r="D19" s="5">
        <v>-1956</v>
      </c>
      <c r="E19" s="5">
        <v>-3297</v>
      </c>
      <c r="F19" s="5">
        <v>-4321</v>
      </c>
      <c r="G19" s="5">
        <v>-6754</v>
      </c>
      <c r="H19" s="5">
        <v>-6583</v>
      </c>
      <c r="I19" s="5">
        <v>-2359</v>
      </c>
      <c r="J19" s="5">
        <v>-2774</v>
      </c>
      <c r="K19" s="5">
        <v>-9004</v>
      </c>
      <c r="L19" s="5">
        <v>-7048</v>
      </c>
      <c r="M19" s="5">
        <v>-9337</v>
      </c>
      <c r="N19" s="5">
        <v>-13508</v>
      </c>
      <c r="O19" s="5">
        <v>-11721</v>
      </c>
      <c r="P19" s="5">
        <v>-6187</v>
      </c>
      <c r="Q19" s="5">
        <v>-4325.401350744808</v>
      </c>
      <c r="R19" s="5">
        <v>-3019.738089951181</v>
      </c>
      <c r="S19" s="15">
        <v>-1581</v>
      </c>
      <c r="T19" s="15">
        <v>-1742</v>
      </c>
      <c r="U19" s="15">
        <v>-2053</v>
      </c>
      <c r="V19" s="15">
        <v>-1654</v>
      </c>
      <c r="W19" s="15">
        <v>-1508</v>
      </c>
    </row>
    <row r="20" spans="1:23" ht="12.75" customHeight="1">
      <c r="A20" s="16" t="s">
        <v>20</v>
      </c>
      <c r="B20" s="38">
        <v>0</v>
      </c>
      <c r="C20" s="38">
        <v>0</v>
      </c>
      <c r="D20" s="3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/>
      <c r="Q20" s="18">
        <v>0</v>
      </c>
      <c r="R20" s="18">
        <v>0</v>
      </c>
      <c r="S20" s="40">
        <v>1329</v>
      </c>
      <c r="T20" s="40">
        <v>1658</v>
      </c>
      <c r="U20" s="40">
        <v>1822</v>
      </c>
      <c r="V20" s="40">
        <v>4343</v>
      </c>
      <c r="W20" s="40">
        <v>8131</v>
      </c>
    </row>
    <row r="21" spans="1:23" ht="12.75" customHeight="1">
      <c r="A21" s="19" t="s">
        <v>21</v>
      </c>
      <c r="B21" s="39">
        <f aca="true" t="shared" si="2" ref="B21:I21">SUM(B16:B20)</f>
        <v>92194</v>
      </c>
      <c r="C21" s="39">
        <f t="shared" si="2"/>
        <v>82595</v>
      </c>
      <c r="D21" s="39">
        <f t="shared" si="2"/>
        <v>97102</v>
      </c>
      <c r="E21" s="20">
        <f t="shared" si="2"/>
        <v>116548</v>
      </c>
      <c r="F21" s="20">
        <f t="shared" si="2"/>
        <v>170132</v>
      </c>
      <c r="G21" s="20">
        <f t="shared" si="2"/>
        <v>201275</v>
      </c>
      <c r="H21" s="20">
        <f t="shared" si="2"/>
        <v>301894</v>
      </c>
      <c r="I21" s="20">
        <f t="shared" si="2"/>
        <v>184394</v>
      </c>
      <c r="J21" s="20">
        <f aca="true" t="shared" si="3" ref="J21:O21">SUM(J16:J20)</f>
        <v>73074</v>
      </c>
      <c r="K21" s="20">
        <f t="shared" si="3"/>
        <v>164643</v>
      </c>
      <c r="L21" s="20">
        <f t="shared" si="3"/>
        <v>148203</v>
      </c>
      <c r="M21" s="20">
        <f t="shared" si="3"/>
        <v>73715</v>
      </c>
      <c r="N21" s="20">
        <f t="shared" si="3"/>
        <v>102766</v>
      </c>
      <c r="O21" s="20">
        <f t="shared" si="3"/>
        <v>158671</v>
      </c>
      <c r="P21" s="20">
        <f>SUM(P16:P20)</f>
        <v>190030</v>
      </c>
      <c r="Q21" s="20">
        <v>142413.3374543722</v>
      </c>
      <c r="R21" s="20">
        <f>SUM(R16:R20)</f>
        <v>36137.449125477826</v>
      </c>
      <c r="S21" s="39">
        <f>SUM(S16:S20)</f>
        <v>36750</v>
      </c>
      <c r="T21" s="39">
        <f>SUM(T16:T20)</f>
        <v>8899</v>
      </c>
      <c r="U21" s="39">
        <f>SUM(U16:U20)</f>
        <v>48228</v>
      </c>
      <c r="V21" s="39">
        <f>SUM(V16:V20)</f>
        <v>-20859</v>
      </c>
      <c r="W21" s="39">
        <f>SUM(W16:W20)</f>
        <v>-5246</v>
      </c>
    </row>
    <row r="22" spans="1:23" ht="12.75" customHeight="1">
      <c r="A22" s="21" t="s">
        <v>22</v>
      </c>
      <c r="B22" s="15">
        <v>20590</v>
      </c>
      <c r="C22" s="15">
        <v>23084</v>
      </c>
      <c r="D22" s="15">
        <v>29155</v>
      </c>
      <c r="E22" s="5">
        <v>24902</v>
      </c>
      <c r="F22" s="5">
        <v>20815</v>
      </c>
      <c r="G22" s="5">
        <v>17522</v>
      </c>
      <c r="H22" s="5">
        <v>17131</v>
      </c>
      <c r="I22" s="5">
        <v>21589</v>
      </c>
      <c r="J22" s="5">
        <v>19470</v>
      </c>
      <c r="K22" s="5">
        <v>23233</v>
      </c>
      <c r="L22" s="5">
        <v>33215</v>
      </c>
      <c r="M22" s="5">
        <v>39226</v>
      </c>
      <c r="N22" s="5">
        <v>38544</v>
      </c>
      <c r="O22" s="15">
        <v>33832</v>
      </c>
      <c r="P22" s="15">
        <v>22440</v>
      </c>
      <c r="Q22" s="15">
        <v>21766.9586308971</v>
      </c>
      <c r="R22" s="15">
        <v>25594.5548997454</v>
      </c>
      <c r="S22" s="15">
        <v>30946.405843663462</v>
      </c>
      <c r="T22" s="15">
        <v>37260.1545894656</v>
      </c>
      <c r="U22" s="15">
        <v>34906.8170854988</v>
      </c>
      <c r="V22" s="15">
        <v>32462</v>
      </c>
      <c r="W22" s="15">
        <f>20981+5669</f>
        <v>26650</v>
      </c>
    </row>
    <row r="23" spans="1:23" ht="12.75" customHeight="1">
      <c r="A23" s="21" t="s">
        <v>23</v>
      </c>
      <c r="B23" s="40">
        <v>1181</v>
      </c>
      <c r="C23" s="40">
        <v>6922</v>
      </c>
      <c r="D23" s="40">
        <v>7829</v>
      </c>
      <c r="E23" s="11">
        <v>915</v>
      </c>
      <c r="F23" s="11">
        <v>939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/>
      <c r="N23" s="18"/>
      <c r="O23" s="18"/>
      <c r="P23" s="18"/>
      <c r="Q23" s="18"/>
      <c r="R23" s="18"/>
      <c r="S23" s="38"/>
      <c r="T23" s="38"/>
      <c r="U23" s="38"/>
      <c r="V23" s="38"/>
      <c r="W23" s="38"/>
    </row>
    <row r="24" spans="1:23" ht="12.75" customHeight="1" thickBot="1">
      <c r="A24" s="22" t="s">
        <v>24</v>
      </c>
      <c r="B24" s="41">
        <f aca="true" t="shared" si="4" ref="B24:I24">SUM(B21:B23)</f>
        <v>113965</v>
      </c>
      <c r="C24" s="41">
        <f t="shared" si="4"/>
        <v>112601</v>
      </c>
      <c r="D24" s="41">
        <f t="shared" si="4"/>
        <v>134086</v>
      </c>
      <c r="E24" s="23">
        <f t="shared" si="4"/>
        <v>142365</v>
      </c>
      <c r="F24" s="23">
        <f t="shared" si="4"/>
        <v>191886</v>
      </c>
      <c r="G24" s="23">
        <f t="shared" si="4"/>
        <v>218797</v>
      </c>
      <c r="H24" s="23">
        <f t="shared" si="4"/>
        <v>319025</v>
      </c>
      <c r="I24" s="23">
        <f t="shared" si="4"/>
        <v>205983</v>
      </c>
      <c r="J24" s="23">
        <f aca="true" t="shared" si="5" ref="J24:O24">SUM(J21:J23)</f>
        <v>92544</v>
      </c>
      <c r="K24" s="23">
        <f t="shared" si="5"/>
        <v>187876</v>
      </c>
      <c r="L24" s="23">
        <f t="shared" si="5"/>
        <v>181418</v>
      </c>
      <c r="M24" s="23">
        <f t="shared" si="5"/>
        <v>112941</v>
      </c>
      <c r="N24" s="23">
        <f t="shared" si="5"/>
        <v>141310</v>
      </c>
      <c r="O24" s="23">
        <f t="shared" si="5"/>
        <v>192503</v>
      </c>
      <c r="P24" s="23">
        <f>SUM(P21:P23)</f>
        <v>212470</v>
      </c>
      <c r="Q24" s="23">
        <v>164180.2960852693</v>
      </c>
      <c r="R24" s="23">
        <f>SUM(R21:R23)</f>
        <v>61732.00402522323</v>
      </c>
      <c r="S24" s="41">
        <f>SUM(S21:S23)</f>
        <v>67696.40584366347</v>
      </c>
      <c r="T24" s="41">
        <f>SUM(T21:T23)</f>
        <v>46159.1545894656</v>
      </c>
      <c r="U24" s="41">
        <f>SUM(U21:U23)</f>
        <v>83134.8170854988</v>
      </c>
      <c r="V24" s="41">
        <f>SUM(V21:V23)</f>
        <v>11603</v>
      </c>
      <c r="W24" s="41">
        <f>SUM(W21:W23)</f>
        <v>21404</v>
      </c>
    </row>
    <row r="25" ht="12.75" customHeight="1">
      <c r="B25" s="3"/>
    </row>
    <row r="26" ht="12.75" customHeight="1">
      <c r="B26" s="3"/>
    </row>
    <row r="27" ht="12.75" customHeight="1">
      <c r="B27" s="3"/>
    </row>
    <row r="28" spans="2:13" ht="12.75" customHeight="1" thickBot="1">
      <c r="B28" s="3"/>
      <c r="I28" s="50"/>
      <c r="J28" s="50"/>
      <c r="K28" s="50"/>
      <c r="L28" s="50"/>
      <c r="M28" s="50"/>
    </row>
    <row r="29" spans="1:23" ht="12.75" customHeight="1">
      <c r="A29" s="28"/>
      <c r="B29" s="30" t="s">
        <v>1</v>
      </c>
      <c r="C29" s="30" t="s">
        <v>2</v>
      </c>
      <c r="D29" s="30" t="s">
        <v>3</v>
      </c>
      <c r="E29" s="30" t="s">
        <v>4</v>
      </c>
      <c r="F29" s="30" t="s">
        <v>34</v>
      </c>
      <c r="G29" s="30" t="s">
        <v>50</v>
      </c>
      <c r="H29" s="30" t="s">
        <v>71</v>
      </c>
      <c r="I29" s="30" t="s">
        <v>72</v>
      </c>
      <c r="J29" s="30" t="s">
        <v>73</v>
      </c>
      <c r="K29" s="30" t="s">
        <v>75</v>
      </c>
      <c r="L29" s="30" t="s">
        <v>76</v>
      </c>
      <c r="M29" s="30" t="s">
        <v>78</v>
      </c>
      <c r="N29" s="30" t="s">
        <v>82</v>
      </c>
      <c r="O29" s="30" t="s">
        <v>84</v>
      </c>
      <c r="P29" s="30" t="s">
        <v>87</v>
      </c>
      <c r="Q29" s="30" t="s">
        <v>90</v>
      </c>
      <c r="R29" s="30" t="s">
        <v>97</v>
      </c>
      <c r="S29" s="58" t="s">
        <v>99</v>
      </c>
      <c r="T29" s="58" t="s">
        <v>107</v>
      </c>
      <c r="U29" s="58" t="s">
        <v>108</v>
      </c>
      <c r="V29" s="58" t="s">
        <v>109</v>
      </c>
      <c r="W29" s="58" t="s">
        <v>116</v>
      </c>
    </row>
    <row r="30" spans="1:23" ht="12.75" customHeight="1">
      <c r="A30" s="4" t="s">
        <v>44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5"/>
      <c r="T30" s="15"/>
      <c r="U30" s="15"/>
      <c r="V30" s="15"/>
      <c r="W30" s="15"/>
    </row>
    <row r="31" spans="1:23" ht="12.75" customHeight="1">
      <c r="A31" s="32" t="s">
        <v>45</v>
      </c>
      <c r="B31" s="33">
        <f aca="true" t="shared" si="6" ref="B31:G31">B10/B8</f>
        <v>0.7315522612459049</v>
      </c>
      <c r="C31" s="33">
        <f t="shared" si="6"/>
        <v>0.8088263779109365</v>
      </c>
      <c r="D31" s="33">
        <f t="shared" si="6"/>
        <v>0.7702280101188914</v>
      </c>
      <c r="E31" s="33">
        <f t="shared" si="6"/>
        <v>0.7951781982364577</v>
      </c>
      <c r="F31" s="33">
        <f t="shared" si="6"/>
        <v>0.8110632144408461</v>
      </c>
      <c r="G31" s="33">
        <f t="shared" si="6"/>
        <v>0.827671849418079</v>
      </c>
      <c r="H31" s="33">
        <f aca="true" t="shared" si="7" ref="H31:M31">H10/H8</f>
        <v>0.8547294504311618</v>
      </c>
      <c r="I31" s="33">
        <f t="shared" si="7"/>
        <v>0.7715762360339867</v>
      </c>
      <c r="J31" s="33">
        <f t="shared" si="7"/>
        <v>0.7321591548222147</v>
      </c>
      <c r="K31" s="33">
        <f t="shared" si="7"/>
        <v>0.7933992338849475</v>
      </c>
      <c r="L31" s="33">
        <f t="shared" si="7"/>
        <v>0.7857181272469272</v>
      </c>
      <c r="M31" s="33">
        <f t="shared" si="7"/>
        <v>0.7580429701812157</v>
      </c>
      <c r="N31" s="33">
        <f>N10/N8</f>
        <v>0.7687030039880497</v>
      </c>
      <c r="O31" s="33">
        <f>O10/O8</f>
        <v>0.7841463919844234</v>
      </c>
      <c r="P31" s="33">
        <f>P10/P8</f>
        <v>0.7425093376821505</v>
      </c>
      <c r="Q31" s="33">
        <v>0.7635829673440403</v>
      </c>
      <c r="R31" s="33">
        <f>R10/R8</f>
        <v>0.6030993490670391</v>
      </c>
      <c r="S31" s="59">
        <f>S10/S8</f>
        <v>0.6057530228346331</v>
      </c>
      <c r="T31" s="59">
        <f>T10/T8</f>
        <v>0.5854414582891985</v>
      </c>
      <c r="U31" s="59">
        <f>U10/U8</f>
        <v>0.6272893134622086</v>
      </c>
      <c r="V31" s="59">
        <f>V10/V8</f>
        <v>0.5630880076217697</v>
      </c>
      <c r="W31" s="59">
        <f>W10/W8</f>
        <v>0.5962382631727751</v>
      </c>
    </row>
    <row r="32" spans="1:23" ht="12.75" customHeight="1">
      <c r="A32" s="32" t="s">
        <v>46</v>
      </c>
      <c r="B32" s="33">
        <f aca="true" t="shared" si="8" ref="B32:G32">B11/B8</f>
        <v>0.29257140735836856</v>
      </c>
      <c r="C32" s="33">
        <f t="shared" si="8"/>
        <v>0.2609642408602688</v>
      </c>
      <c r="D32" s="33">
        <f t="shared" si="8"/>
        <v>0.27752958323793353</v>
      </c>
      <c r="E32" s="33">
        <f t="shared" si="8"/>
        <v>0.3350087730081919</v>
      </c>
      <c r="F32" s="33">
        <f t="shared" si="8"/>
        <v>0.480087753542307</v>
      </c>
      <c r="G32" s="33">
        <f t="shared" si="8"/>
        <v>0.4627710503457759</v>
      </c>
      <c r="H32" s="33">
        <f aca="true" t="shared" si="9" ref="H32:M32">H11/H8</f>
        <v>0.5204597258988933</v>
      </c>
      <c r="I32" s="33">
        <f t="shared" si="9"/>
        <v>0.34706518587899465</v>
      </c>
      <c r="J32" s="33">
        <f t="shared" si="9"/>
        <v>0.15626229683820606</v>
      </c>
      <c r="K32" s="33">
        <f t="shared" si="9"/>
        <v>0.29367236320280066</v>
      </c>
      <c r="L32" s="33">
        <f t="shared" si="9"/>
        <v>0.32113942222167063</v>
      </c>
      <c r="M32" s="33">
        <f t="shared" si="9"/>
        <v>0.18900325655806163</v>
      </c>
      <c r="N32" s="33">
        <f>N11/N8</f>
        <v>0.22989910254052803</v>
      </c>
      <c r="O32" s="33">
        <f>O11/O8</f>
        <v>0.33613657570431216</v>
      </c>
      <c r="P32" s="33">
        <f>P11/P8</f>
        <v>0.4128928402335736</v>
      </c>
      <c r="Q32" s="33">
        <v>0.3672305132728718</v>
      </c>
      <c r="R32" s="33">
        <f>R11/R8</f>
        <v>0.105965729139323</v>
      </c>
      <c r="S32" s="59">
        <f>S11/S8</f>
        <v>0.08743125774098852</v>
      </c>
      <c r="T32" s="59">
        <f>T11/T8</f>
        <v>0.025911126370616037</v>
      </c>
      <c r="U32" s="59">
        <f>U11/U8</f>
        <v>0.10348291342940899</v>
      </c>
      <c r="V32" s="59">
        <f>V11/V8</f>
        <v>-0.057178158866261763</v>
      </c>
      <c r="W32" s="59">
        <f>W11/W8</f>
        <v>-0.011124503370385251</v>
      </c>
    </row>
    <row r="33" spans="1:23" ht="12.75" customHeight="1">
      <c r="A33" s="32" t="s">
        <v>47</v>
      </c>
      <c r="B33" s="33">
        <f aca="true" t="shared" si="10" ref="B33:G33">B12/B8</f>
        <v>0.21116098635425723</v>
      </c>
      <c r="C33" s="33">
        <f t="shared" si="10"/>
        <v>0.16914829139668713</v>
      </c>
      <c r="D33" s="33">
        <f t="shared" si="10"/>
        <v>0.17655566786358484</v>
      </c>
      <c r="E33" s="33">
        <f t="shared" si="10"/>
        <v>0.22634081739849574</v>
      </c>
      <c r="F33" s="33">
        <f t="shared" si="10"/>
        <v>0.33763120419193615</v>
      </c>
      <c r="G33" s="33">
        <f t="shared" si="10"/>
        <v>0.3971613717296794</v>
      </c>
      <c r="H33" s="33">
        <f aca="true" t="shared" si="11" ref="H33:M33">H12/H8</f>
        <v>0.40252842495625957</v>
      </c>
      <c r="I33" s="33">
        <f t="shared" si="11"/>
        <v>0.2674691316726508</v>
      </c>
      <c r="J33" s="33">
        <f t="shared" si="11"/>
        <v>0.06326884210396198</v>
      </c>
      <c r="K33" s="33">
        <f t="shared" si="11"/>
        <v>0.1947792557014688</v>
      </c>
      <c r="L33" s="33">
        <f t="shared" si="11"/>
        <v>0.24637699146529649</v>
      </c>
      <c r="M33" s="33">
        <f t="shared" si="11"/>
        <v>0.13303642748070757</v>
      </c>
      <c r="N33" s="33">
        <f>N12/N8</f>
        <v>0.1413315775633155</v>
      </c>
      <c r="O33" s="33">
        <f>O12/O8</f>
        <v>0.26992797580649935</v>
      </c>
      <c r="P33" s="33">
        <f>P12/P8</f>
        <v>0.31227944657793677</v>
      </c>
      <c r="Q33" s="33">
        <v>0.26374801352109345</v>
      </c>
      <c r="R33" s="33">
        <f>R12/R8</f>
        <v>0.07106197920905391</v>
      </c>
      <c r="S33" s="59">
        <f>S12/S8</f>
        <v>0.0499711459286107</v>
      </c>
      <c r="T33" s="59">
        <f>T12/T8</f>
        <v>0.01889094242864761</v>
      </c>
      <c r="U33" s="59">
        <f>U12/U8</f>
        <v>0.07229044095037002</v>
      </c>
      <c r="V33" s="59">
        <f>V12/V8</f>
        <v>-0.09072287721805407</v>
      </c>
      <c r="W33" s="59">
        <f>W12/W8</f>
        <v>-0.0449712066425606</v>
      </c>
    </row>
    <row r="34" spans="1:23" ht="12.75" customHeight="1">
      <c r="A34" s="34" t="s">
        <v>48</v>
      </c>
      <c r="B34" s="35">
        <v>0.8057663570570482</v>
      </c>
      <c r="C34" s="35">
        <v>0.775737874478224</v>
      </c>
      <c r="D34" s="35">
        <v>0.7907388663967612</v>
      </c>
      <c r="E34" s="35">
        <v>0.814704175976102</v>
      </c>
      <c r="F34" s="35">
        <v>1.017815848614142</v>
      </c>
      <c r="G34" s="35">
        <v>1.6780306632136524</v>
      </c>
      <c r="H34" s="35">
        <v>0.7005431177651933</v>
      </c>
      <c r="I34" s="35">
        <v>1.0030258967807544</v>
      </c>
      <c r="J34" s="35">
        <v>5.116730025876114</v>
      </c>
      <c r="K34" s="35">
        <v>1.478236321152159</v>
      </c>
      <c r="L34" s="35">
        <v>0.38273468155750073</v>
      </c>
      <c r="M34" s="35">
        <v>0.90365374384321</v>
      </c>
      <c r="N34" s="35">
        <f>N13/N16</f>
        <v>1.4811272803581421</v>
      </c>
      <c r="O34" s="52">
        <f>O13/O16</f>
        <v>1.0008309855207191</v>
      </c>
      <c r="P34" s="52">
        <f>P13/P16</f>
        <v>1.6688356906531538</v>
      </c>
      <c r="Q34" s="52">
        <v>1.06385000077349</v>
      </c>
      <c r="R34" s="52">
        <f>R13/R12</f>
        <v>1.1055559245543733</v>
      </c>
      <c r="S34" s="52">
        <f>S13/S12</f>
        <v>0</v>
      </c>
      <c r="T34" s="52">
        <f>T13/T12</f>
        <v>0.774168600154679</v>
      </c>
      <c r="U34" s="52">
        <f>U13/U12</f>
        <v>0.17031533575317603</v>
      </c>
      <c r="V34" s="52">
        <f>V13/V12</f>
        <v>0</v>
      </c>
      <c r="W34" s="52">
        <f>W13/W12</f>
        <v>0</v>
      </c>
    </row>
    <row r="35" spans="1:23" ht="12.75" customHeight="1">
      <c r="A35" s="16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52"/>
      <c r="T35" s="52"/>
      <c r="U35" s="52"/>
      <c r="V35" s="52"/>
      <c r="W35" s="52"/>
    </row>
    <row r="36" spans="1:23" ht="12.75" customHeight="1">
      <c r="A36" s="32" t="s">
        <v>49</v>
      </c>
      <c r="B36" s="33">
        <f aca="true" t="shared" si="12" ref="B36:G36">B24/B8</f>
        <v>0.35255884745909527</v>
      </c>
      <c r="C36" s="33">
        <f t="shared" si="12"/>
        <v>0.3517835831620252</v>
      </c>
      <c r="D36" s="33">
        <f t="shared" si="12"/>
        <v>0.374393397032462</v>
      </c>
      <c r="E36" s="33">
        <f t="shared" si="12"/>
        <v>0.3977609271449167</v>
      </c>
      <c r="F36" s="33">
        <f t="shared" si="12"/>
        <v>0.5275274504736822</v>
      </c>
      <c r="G36" s="33">
        <f t="shared" si="12"/>
        <v>0.4860567770083995</v>
      </c>
      <c r="H36" s="33">
        <f aca="true" t="shared" si="13" ref="H36:P36">H24/H8</f>
        <v>0.5382562202527075</v>
      </c>
      <c r="I36" s="33">
        <f t="shared" si="13"/>
        <v>0.38280256907740684</v>
      </c>
      <c r="J36" s="33">
        <f t="shared" si="13"/>
        <v>0.19065945046138252</v>
      </c>
      <c r="K36" s="33">
        <f t="shared" si="13"/>
        <v>0.3177364936283919</v>
      </c>
      <c r="L36" s="33">
        <f t="shared" si="13"/>
        <v>0.37526632163793494</v>
      </c>
      <c r="M36" s="33">
        <f t="shared" si="13"/>
        <v>0.25702230890194144</v>
      </c>
      <c r="N36" s="33">
        <f t="shared" si="13"/>
        <v>0.2794007446204828</v>
      </c>
      <c r="O36" s="33">
        <f t="shared" si="13"/>
        <v>0.37975550045076767</v>
      </c>
      <c r="P36" s="33">
        <f t="shared" si="13"/>
        <v>0.44709348203482563</v>
      </c>
      <c r="Q36" s="33">
        <v>0.4108828096414896</v>
      </c>
      <c r="R36" s="33">
        <f>R24/R8</f>
        <v>0.16705766064214322</v>
      </c>
      <c r="S36" s="59">
        <f>S24/S8</f>
        <v>0.15441240529743294</v>
      </c>
      <c r="T36" s="59">
        <f>T24/T8</f>
        <v>0.1123988053499149</v>
      </c>
      <c r="U36" s="59">
        <f>U24/U8</f>
        <v>0.1704245855671241</v>
      </c>
      <c r="V36" s="59">
        <f>V24/V8</f>
        <v>0.03454507562224604</v>
      </c>
      <c r="W36" s="59">
        <f>W24/W8</f>
        <v>0.06369953722304064</v>
      </c>
    </row>
    <row r="37" spans="1:23" ht="12.75" customHeight="1" thickBot="1">
      <c r="A37" s="36" t="s">
        <v>89</v>
      </c>
      <c r="B37" s="37">
        <f aca="true" t="shared" si="14" ref="B37:G37">B21/B8</f>
        <v>0.2852087077843533</v>
      </c>
      <c r="C37" s="37">
        <f t="shared" si="14"/>
        <v>0.25804002674281284</v>
      </c>
      <c r="D37" s="37">
        <f t="shared" si="14"/>
        <v>0.27112709483947706</v>
      </c>
      <c r="E37" s="37">
        <f t="shared" si="14"/>
        <v>0.3256294773075247</v>
      </c>
      <c r="F37" s="37">
        <f t="shared" si="14"/>
        <v>0.46772198182248054</v>
      </c>
      <c r="G37" s="37">
        <f t="shared" si="14"/>
        <v>0.44713171475095914</v>
      </c>
      <c r="H37" s="37">
        <f aca="true" t="shared" si="15" ref="H37:M37">H21/H8</f>
        <v>0.5093529452455792</v>
      </c>
      <c r="I37" s="37">
        <f t="shared" si="15"/>
        <v>0.34268117719646457</v>
      </c>
      <c r="J37" s="37">
        <f t="shared" si="15"/>
        <v>0.15054729299592698</v>
      </c>
      <c r="K37" s="37">
        <f t="shared" si="15"/>
        <v>0.27844476953128305</v>
      </c>
      <c r="L37" s="37">
        <f t="shared" si="15"/>
        <v>0.3065605103446564</v>
      </c>
      <c r="M37" s="37">
        <f t="shared" si="15"/>
        <v>0.16775484102944557</v>
      </c>
      <c r="N37" s="37">
        <f>N21/N8</f>
        <v>0.20319083519686176</v>
      </c>
      <c r="O37" s="37">
        <f>O21/O8</f>
        <v>0.3130142647752178</v>
      </c>
      <c r="P37" s="37">
        <f>P21/P8</f>
        <v>0.3998737440159924</v>
      </c>
      <c r="Q37" s="37">
        <v>0.35640812947056305</v>
      </c>
      <c r="R37" s="37">
        <f>R21/R8</f>
        <v>0.09779429337836014</v>
      </c>
      <c r="S37" s="60">
        <f>S21/S8</f>
        <v>0.08382506905589023</v>
      </c>
      <c r="T37" s="60">
        <f>T21/T8</f>
        <v>0.02166930867137601</v>
      </c>
      <c r="U37" s="60">
        <f>U21/U8</f>
        <v>0.09886636190320001</v>
      </c>
      <c r="V37" s="60">
        <f>V21/V8</f>
        <v>-0.062102536620221506</v>
      </c>
      <c r="W37" s="60">
        <f>W21/W8</f>
        <v>-0.015612398256030236</v>
      </c>
    </row>
    <row r="40" ht="12.75" customHeight="1">
      <c r="A40" s="32"/>
    </row>
  </sheetData>
  <sheetProtection/>
  <printOptions horizontalCentered="1"/>
  <pageMargins left="0.69" right="0.34" top="0.74" bottom="0.61" header="0.29" footer="0.21"/>
  <pageSetup fitToHeight="1" fitToWidth="1" horizontalDpi="600" verticalDpi="600" orientation="landscape" paperSize="9" scale="65" r:id="rId1"/>
  <headerFooter alignWithMargins="0">
    <oddHeader>&amp;R&amp;6Printed on &amp;D
&amp;T</oddHeader>
    <oddFooter>&amp;L&amp;"Arial,Italic"&amp;6File: &amp;Z&amp;F - &amp;A&amp;R&amp;"Arial,Italic"&amp;6Page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pane xSplit="1" ySplit="5" topLeftCell="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29" sqref="R29"/>
    </sheetView>
  </sheetViews>
  <sheetFormatPr defaultColWidth="12.8515625" defaultRowHeight="12.75" customHeight="1"/>
  <cols>
    <col min="1" max="1" width="26.421875" style="1" customWidth="1"/>
    <col min="2" max="2" width="12.7109375" style="1" customWidth="1"/>
    <col min="3" max="11" width="12.7109375" style="3" customWidth="1"/>
    <col min="12" max="18" width="12.8515625" style="3" customWidth="1"/>
    <col min="19" max="22" width="12.8515625" style="54" customWidth="1"/>
    <col min="23" max="16384" width="12.8515625" style="3" customWidth="1"/>
  </cols>
  <sheetData>
    <row r="1" spans="1:2" ht="12.75" customHeight="1">
      <c r="A1" s="4" t="s">
        <v>0</v>
      </c>
      <c r="B1" s="4"/>
    </row>
    <row r="2" spans="1:2" ht="12.75" customHeight="1">
      <c r="A2" s="47" t="s">
        <v>42</v>
      </c>
      <c r="B2" s="3"/>
    </row>
    <row r="3" ht="12.75" customHeight="1" thickBot="1">
      <c r="B3" s="3"/>
    </row>
    <row r="4" spans="1:23" ht="12.75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68</v>
      </c>
      <c r="G4" s="9" t="s">
        <v>69</v>
      </c>
      <c r="H4" s="9" t="s">
        <v>70</v>
      </c>
      <c r="I4" s="9" t="s">
        <v>72</v>
      </c>
      <c r="J4" s="9" t="s">
        <v>73</v>
      </c>
      <c r="K4" s="9" t="s">
        <v>75</v>
      </c>
      <c r="L4" s="9" t="s">
        <v>76</v>
      </c>
      <c r="M4" s="9" t="s">
        <v>79</v>
      </c>
      <c r="N4" s="9" t="s">
        <v>83</v>
      </c>
      <c r="O4" s="9" t="s">
        <v>85</v>
      </c>
      <c r="P4" s="9" t="s">
        <v>87</v>
      </c>
      <c r="Q4" s="9" t="s">
        <v>90</v>
      </c>
      <c r="R4" s="9" t="s">
        <v>92</v>
      </c>
      <c r="S4" s="55" t="s">
        <v>100</v>
      </c>
      <c r="T4" s="55" t="s">
        <v>113</v>
      </c>
      <c r="U4" s="55" t="s">
        <v>114</v>
      </c>
      <c r="V4" s="55" t="s">
        <v>115</v>
      </c>
      <c r="W4" s="55" t="s">
        <v>116</v>
      </c>
    </row>
    <row r="5" spans="1:23" ht="12.75" customHeight="1">
      <c r="A5" s="10" t="s">
        <v>7</v>
      </c>
      <c r="B5" s="24" t="s">
        <v>8</v>
      </c>
      <c r="C5" s="24" t="s">
        <v>8</v>
      </c>
      <c r="D5" s="24" t="s">
        <v>8</v>
      </c>
      <c r="E5" s="24" t="s">
        <v>8</v>
      </c>
      <c r="F5" s="24" t="s">
        <v>8</v>
      </c>
      <c r="G5" s="24" t="s">
        <v>8</v>
      </c>
      <c r="H5" s="24" t="s">
        <v>8</v>
      </c>
      <c r="I5" s="24" t="s">
        <v>8</v>
      </c>
      <c r="J5" s="24" t="s">
        <v>8</v>
      </c>
      <c r="K5" s="24" t="s">
        <v>8</v>
      </c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62" t="s">
        <v>8</v>
      </c>
      <c r="T5" s="62" t="s">
        <v>8</v>
      </c>
      <c r="U5" s="62" t="s">
        <v>8</v>
      </c>
      <c r="V5" s="62" t="s">
        <v>8</v>
      </c>
      <c r="W5" s="62" t="s">
        <v>8</v>
      </c>
    </row>
    <row r="6" spans="1:23" ht="12.75" customHeight="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5"/>
      <c r="T6" s="15"/>
      <c r="U6" s="15"/>
      <c r="V6" s="15"/>
      <c r="W6" s="15"/>
    </row>
    <row r="7" spans="1:23" ht="12.75" customHeight="1">
      <c r="A7" s="14" t="s">
        <v>26</v>
      </c>
      <c r="B7" s="25">
        <v>52718</v>
      </c>
      <c r="C7" s="25">
        <v>62706</v>
      </c>
      <c r="D7" s="25">
        <v>55726</v>
      </c>
      <c r="E7" s="25">
        <v>56477</v>
      </c>
      <c r="F7" s="25">
        <v>63573</v>
      </c>
      <c r="G7" s="25">
        <v>71017</v>
      </c>
      <c r="H7" s="25">
        <v>100859</v>
      </c>
      <c r="I7" s="25">
        <v>89076</v>
      </c>
      <c r="J7" s="25">
        <v>46725</v>
      </c>
      <c r="K7" s="25">
        <v>40260</v>
      </c>
      <c r="L7" s="25">
        <v>67427</v>
      </c>
      <c r="M7" s="25">
        <v>47047</v>
      </c>
      <c r="N7" s="25">
        <v>45036</v>
      </c>
      <c r="O7" s="25">
        <v>46905</v>
      </c>
      <c r="P7" s="25">
        <v>49842</v>
      </c>
      <c r="Q7" s="25">
        <v>85077.38839311287</v>
      </c>
      <c r="R7" s="25">
        <v>74313</v>
      </c>
      <c r="S7" s="51">
        <v>85492</v>
      </c>
      <c r="T7" s="51">
        <v>103280</v>
      </c>
      <c r="U7" s="51">
        <v>120961</v>
      </c>
      <c r="V7" s="51">
        <v>98831</v>
      </c>
      <c r="W7" s="51">
        <v>77614</v>
      </c>
    </row>
    <row r="8" spans="1:23" ht="12.75" customHeight="1">
      <c r="A8" s="14" t="s">
        <v>27</v>
      </c>
      <c r="B8" s="25">
        <v>47962</v>
      </c>
      <c r="C8" s="25">
        <v>68254</v>
      </c>
      <c r="D8" s="25">
        <v>59282</v>
      </c>
      <c r="E8" s="25">
        <v>77891</v>
      </c>
      <c r="F8" s="25">
        <v>85990</v>
      </c>
      <c r="G8" s="25">
        <v>59351</v>
      </c>
      <c r="H8" s="25">
        <v>65302</v>
      </c>
      <c r="I8" s="25">
        <v>59400</v>
      </c>
      <c r="J8" s="25">
        <v>18564</v>
      </c>
      <c r="K8" s="25">
        <v>26307</v>
      </c>
      <c r="L8" s="25">
        <v>23323</v>
      </c>
      <c r="M8" s="25">
        <v>83680</v>
      </c>
      <c r="N8" s="25">
        <v>50802</v>
      </c>
      <c r="O8" s="25">
        <v>41210</v>
      </c>
      <c r="P8" s="25">
        <v>72972</v>
      </c>
      <c r="Q8" s="25">
        <v>98150.83815597012</v>
      </c>
      <c r="R8" s="25">
        <v>70929.65064926364</v>
      </c>
      <c r="S8" s="51">
        <v>98816</v>
      </c>
      <c r="T8" s="51">
        <v>113712</v>
      </c>
      <c r="U8" s="51">
        <v>115157</v>
      </c>
      <c r="V8" s="51">
        <v>75799</v>
      </c>
      <c r="W8" s="51">
        <f>54648-504</f>
        <v>54144</v>
      </c>
    </row>
    <row r="9" spans="1:23" ht="12.75" customHeight="1">
      <c r="A9" s="14" t="s">
        <v>102</v>
      </c>
      <c r="B9" s="25">
        <v>216778</v>
      </c>
      <c r="C9" s="25">
        <v>170265</v>
      </c>
      <c r="D9" s="25">
        <v>235920</v>
      </c>
      <c r="E9" s="25">
        <v>338748</v>
      </c>
      <c r="F9" s="25">
        <v>356243</v>
      </c>
      <c r="G9" s="25">
        <v>588741</v>
      </c>
      <c r="H9" s="25">
        <v>546205</v>
      </c>
      <c r="I9" s="25">
        <v>559346</v>
      </c>
      <c r="J9" s="25">
        <v>575488</v>
      </c>
      <c r="K9" s="25">
        <v>558292</v>
      </c>
      <c r="L9" s="25">
        <v>432441</v>
      </c>
      <c r="M9" s="25">
        <v>507409</v>
      </c>
      <c r="N9" s="25">
        <v>583283</v>
      </c>
      <c r="O9" s="25">
        <v>502721</v>
      </c>
      <c r="P9" s="25">
        <v>428633</v>
      </c>
      <c r="Q9" s="25">
        <v>288902.69761665416</v>
      </c>
      <c r="R9" s="25">
        <v>181024.17167369745</v>
      </c>
      <c r="S9" s="51">
        <v>145696</v>
      </c>
      <c r="T9" s="51">
        <v>161978</v>
      </c>
      <c r="U9" s="51">
        <v>193337</v>
      </c>
      <c r="V9" s="51">
        <v>168609</v>
      </c>
      <c r="W9" s="51">
        <v>166805</v>
      </c>
    </row>
    <row r="10" spans="1:23" ht="12.75" customHeight="1">
      <c r="A10" s="14" t="s">
        <v>28</v>
      </c>
      <c r="B10" s="25">
        <v>458761</v>
      </c>
      <c r="C10" s="25">
        <v>431272</v>
      </c>
      <c r="D10" s="25">
        <v>510600</v>
      </c>
      <c r="E10" s="25">
        <v>563181</v>
      </c>
      <c r="F10" s="25">
        <v>612678</v>
      </c>
      <c r="G10" s="25">
        <v>758991</v>
      </c>
      <c r="H10" s="25">
        <v>740514</v>
      </c>
      <c r="I10" s="25">
        <v>734512</v>
      </c>
      <c r="J10" s="25">
        <v>667326</v>
      </c>
      <c r="K10" s="25">
        <v>655186</v>
      </c>
      <c r="L10" s="25">
        <v>555241</v>
      </c>
      <c r="M10" s="25">
        <v>667392</v>
      </c>
      <c r="N10" s="25">
        <v>696087</v>
      </c>
      <c r="O10" s="25">
        <v>609610</v>
      </c>
      <c r="P10" s="25">
        <v>565936</v>
      </c>
      <c r="Q10" s="25">
        <v>491856</v>
      </c>
      <c r="R10" s="25">
        <v>347785</v>
      </c>
      <c r="S10" s="51">
        <v>359928</v>
      </c>
      <c r="T10" s="51">
        <v>400481</v>
      </c>
      <c r="U10" s="51">
        <v>450331</v>
      </c>
      <c r="V10" s="51">
        <v>364900</v>
      </c>
      <c r="W10" s="51">
        <v>343285</v>
      </c>
    </row>
    <row r="11" spans="1:23" ht="12.75" customHeight="1">
      <c r="A11" s="14" t="s">
        <v>29</v>
      </c>
      <c r="B11" s="25">
        <v>871170</v>
      </c>
      <c r="C11" s="25">
        <v>841415</v>
      </c>
      <c r="D11" s="25">
        <v>900231</v>
      </c>
      <c r="E11" s="25">
        <v>930470</v>
      </c>
      <c r="F11" s="25">
        <v>997660</v>
      </c>
      <c r="G11" s="25">
        <v>1032314</v>
      </c>
      <c r="H11" s="25">
        <v>1026226</v>
      </c>
      <c r="I11" s="25">
        <v>999319</v>
      </c>
      <c r="J11" s="25">
        <v>940931</v>
      </c>
      <c r="K11" s="25">
        <v>958626</v>
      </c>
      <c r="L11" s="25">
        <v>884060</v>
      </c>
      <c r="M11" s="25">
        <v>982067</v>
      </c>
      <c r="N11" s="51">
        <v>977730</v>
      </c>
      <c r="O11" s="25">
        <v>888597</v>
      </c>
      <c r="P11" s="25">
        <v>822186</v>
      </c>
      <c r="Q11" s="25">
        <v>777884.7339004534</v>
      </c>
      <c r="R11" s="25">
        <f>678965953.36/1000</f>
        <v>678965.95336</v>
      </c>
      <c r="S11" s="51">
        <v>757400</v>
      </c>
      <c r="T11" s="51">
        <v>831972</v>
      </c>
      <c r="U11" s="51">
        <v>930444</v>
      </c>
      <c r="V11" s="51">
        <v>872309</v>
      </c>
      <c r="W11" s="51">
        <f>283360+589074</f>
        <v>872434</v>
      </c>
    </row>
    <row r="12" spans="1:23" ht="12.75" customHeight="1">
      <c r="A12" s="14" t="s">
        <v>30</v>
      </c>
      <c r="B12" s="25">
        <v>15001</v>
      </c>
      <c r="C12" s="25">
        <v>7423</v>
      </c>
      <c r="D12" s="25">
        <v>10118</v>
      </c>
      <c r="E12" s="25">
        <v>16593</v>
      </c>
      <c r="F12" s="25">
        <v>16607</v>
      </c>
      <c r="G12" s="25">
        <v>21813</v>
      </c>
      <c r="H12" s="25">
        <v>14035</v>
      </c>
      <c r="I12" s="25">
        <v>12079</v>
      </c>
      <c r="J12" s="25">
        <v>13032</v>
      </c>
      <c r="K12" s="25">
        <v>22349</v>
      </c>
      <c r="L12" s="25">
        <v>18005</v>
      </c>
      <c r="M12" s="25">
        <v>21266</v>
      </c>
      <c r="N12" s="25">
        <v>18577</v>
      </c>
      <c r="O12" s="25">
        <v>14942</v>
      </c>
      <c r="P12" s="25">
        <v>20880</v>
      </c>
      <c r="Q12" s="25">
        <v>21521.1001641224</v>
      </c>
      <c r="R12" s="25">
        <v>20537.302745553272</v>
      </c>
      <c r="S12" s="51">
        <v>26242</v>
      </c>
      <c r="T12" s="51">
        <v>26147</v>
      </c>
      <c r="U12" s="51">
        <v>15151</v>
      </c>
      <c r="V12" s="51">
        <v>9764</v>
      </c>
      <c r="W12" s="51">
        <v>20741</v>
      </c>
    </row>
    <row r="13" spans="1:23" ht="12.75" customHeight="1">
      <c r="A13" s="14" t="s">
        <v>104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51">
        <f>14556+10400</f>
        <v>24956</v>
      </c>
      <c r="T13" s="51">
        <v>67527</v>
      </c>
      <c r="U13" s="51">
        <f>87801+9482</f>
        <v>97283</v>
      </c>
      <c r="V13" s="51">
        <f>113842+6024</f>
        <v>119866</v>
      </c>
      <c r="W13" s="51">
        <v>171807</v>
      </c>
    </row>
    <row r="14" spans="1:23" ht="12.75" customHeight="1">
      <c r="A14" s="14" t="s">
        <v>31</v>
      </c>
      <c r="B14" s="25">
        <v>99436</v>
      </c>
      <c r="C14" s="25">
        <v>72451</v>
      </c>
      <c r="D14" s="25">
        <v>85435</v>
      </c>
      <c r="E14" s="25">
        <v>106283</v>
      </c>
      <c r="F14" s="25">
        <v>107172</v>
      </c>
      <c r="G14" s="25">
        <v>104764</v>
      </c>
      <c r="H14" s="25">
        <v>157560</v>
      </c>
      <c r="I14" s="25">
        <v>118616</v>
      </c>
      <c r="J14" s="25">
        <v>145702</v>
      </c>
      <c r="K14" s="25">
        <v>155110</v>
      </c>
      <c r="L14" s="25">
        <v>125958</v>
      </c>
      <c r="M14" s="25">
        <v>180833</v>
      </c>
      <c r="N14" s="25">
        <v>191202</v>
      </c>
      <c r="O14" s="25">
        <v>143637</v>
      </c>
      <c r="P14" s="25">
        <v>162726</v>
      </c>
      <c r="Q14" s="25">
        <v>115652</v>
      </c>
      <c r="R14" s="25">
        <f>125811368.49/1000</f>
        <v>125811.36849</v>
      </c>
      <c r="S14" s="51">
        <v>158216</v>
      </c>
      <c r="T14" s="51">
        <v>204665</v>
      </c>
      <c r="U14" s="51">
        <v>237966</v>
      </c>
      <c r="V14" s="51">
        <v>250777</v>
      </c>
      <c r="W14" s="51">
        <v>283360</v>
      </c>
    </row>
    <row r="15" spans="1:23" ht="12.75" customHeight="1">
      <c r="A15" s="14" t="s">
        <v>32</v>
      </c>
      <c r="B15" s="25">
        <v>107034</v>
      </c>
      <c r="C15" s="25">
        <v>80827</v>
      </c>
      <c r="D15" s="25">
        <v>95600</v>
      </c>
      <c r="E15" s="25">
        <v>117173</v>
      </c>
      <c r="F15" s="25">
        <v>118489</v>
      </c>
      <c r="G15" s="25">
        <v>116663</v>
      </c>
      <c r="H15" s="25">
        <v>169819</v>
      </c>
      <c r="I15" s="25">
        <v>130491</v>
      </c>
      <c r="J15" s="25">
        <v>158297</v>
      </c>
      <c r="K15" s="25">
        <v>170441</v>
      </c>
      <c r="L15" s="25">
        <v>136064</v>
      </c>
      <c r="M15" s="25">
        <v>193809</v>
      </c>
      <c r="N15" s="25">
        <f>N14+12622</f>
        <v>203824</v>
      </c>
      <c r="O15" s="25">
        <v>155969</v>
      </c>
      <c r="P15" s="25">
        <v>167513</v>
      </c>
      <c r="Q15" s="25">
        <v>127138.8070770551</v>
      </c>
      <c r="R15" s="25">
        <f>127110791.17/1000</f>
        <v>127110.79117</v>
      </c>
      <c r="S15" s="51">
        <v>189607</v>
      </c>
      <c r="T15" s="51">
        <v>220742</v>
      </c>
      <c r="U15" s="51">
        <f>237966+34560</f>
        <v>272526</v>
      </c>
      <c r="V15" s="51">
        <f>24070+250777</f>
        <v>274847</v>
      </c>
      <c r="W15" s="51">
        <f>W14+14550</f>
        <v>297910</v>
      </c>
    </row>
    <row r="16" spans="1:23" ht="12.75" customHeight="1">
      <c r="A16" s="14" t="s">
        <v>18</v>
      </c>
      <c r="B16" s="25">
        <v>20322</v>
      </c>
      <c r="C16" s="25">
        <v>10199</v>
      </c>
      <c r="D16" s="25">
        <v>9662</v>
      </c>
      <c r="E16" s="25">
        <v>6786</v>
      </c>
      <c r="F16" s="25">
        <v>432</v>
      </c>
      <c r="G16" s="25">
        <v>6025</v>
      </c>
      <c r="H16" s="25">
        <v>6447</v>
      </c>
      <c r="I16" s="25">
        <v>746</v>
      </c>
      <c r="J16" s="25">
        <v>147</v>
      </c>
      <c r="K16" s="25">
        <v>181</v>
      </c>
      <c r="L16" s="25">
        <v>-187</v>
      </c>
      <c r="M16" s="25">
        <v>0</v>
      </c>
      <c r="N16" s="25">
        <v>0</v>
      </c>
      <c r="O16" s="25">
        <v>0</v>
      </c>
      <c r="P16" s="25"/>
      <c r="Q16" s="25"/>
      <c r="R16" s="25"/>
      <c r="S16" s="51"/>
      <c r="T16" s="51"/>
      <c r="U16" s="51"/>
      <c r="V16" s="51"/>
      <c r="W16" s="51"/>
    </row>
    <row r="17" spans="1:23" ht="12.75" customHeight="1" thickBot="1">
      <c r="A17" s="26" t="s">
        <v>33</v>
      </c>
      <c r="B17" s="27">
        <v>743814</v>
      </c>
      <c r="C17" s="27">
        <v>750389</v>
      </c>
      <c r="D17" s="27">
        <v>794969</v>
      </c>
      <c r="E17" s="27">
        <v>813511</v>
      </c>
      <c r="F17" s="27">
        <v>878739</v>
      </c>
      <c r="G17" s="27">
        <v>909626</v>
      </c>
      <c r="H17" s="27">
        <v>849960</v>
      </c>
      <c r="I17" s="27">
        <v>868082</v>
      </c>
      <c r="J17" s="27">
        <v>782634</v>
      </c>
      <c r="K17" s="27">
        <v>788185</v>
      </c>
      <c r="L17" s="27">
        <v>747996</v>
      </c>
      <c r="M17" s="27">
        <v>788258</v>
      </c>
      <c r="N17" s="27">
        <v>773906</v>
      </c>
      <c r="O17" s="27">
        <v>732628</v>
      </c>
      <c r="P17" s="27">
        <v>654673</v>
      </c>
      <c r="Q17" s="27">
        <v>650746.093130012</v>
      </c>
      <c r="R17" s="27">
        <v>551855.1621966903</v>
      </c>
      <c r="S17" s="63">
        <v>567793</v>
      </c>
      <c r="T17" s="63">
        <v>611230</v>
      </c>
      <c r="U17" s="63">
        <v>657918</v>
      </c>
      <c r="V17" s="63">
        <v>597462</v>
      </c>
      <c r="W17" s="63">
        <v>574524</v>
      </c>
    </row>
    <row r="18" spans="2:23" ht="12.75" customHeight="1">
      <c r="B18" s="3"/>
      <c r="Q18" s="3">
        <v>-0.16630661371164024</v>
      </c>
      <c r="R18" s="3">
        <f>R17+R15-R11</f>
        <v>6.690272130072117E-06</v>
      </c>
      <c r="S18" s="54">
        <f>S17+S15-S11</f>
        <v>0</v>
      </c>
      <c r="T18" s="54">
        <f>T17+T15-T11</f>
        <v>0</v>
      </c>
      <c r="U18" s="54">
        <f>U17+U15-U11</f>
        <v>0</v>
      </c>
      <c r="V18" s="54">
        <f>V17+V15-V11</f>
        <v>0</v>
      </c>
      <c r="W18" s="54">
        <f>W17+W15-W11</f>
        <v>0</v>
      </c>
    </row>
    <row r="19" spans="2:23" ht="12.75" customHeight="1">
      <c r="B19" s="3"/>
      <c r="W19" s="54"/>
    </row>
    <row r="20" spans="2:23" ht="12.75" customHeight="1">
      <c r="B20" s="3"/>
      <c r="W20" s="54"/>
    </row>
    <row r="21" spans="2:23" ht="12.75" customHeight="1" thickBot="1">
      <c r="B21" s="3"/>
      <c r="W21" s="54"/>
    </row>
    <row r="22" spans="1:23" ht="12.75" customHeight="1">
      <c r="A22" s="28"/>
      <c r="B22" s="30" t="s">
        <v>1</v>
      </c>
      <c r="C22" s="30" t="s">
        <v>2</v>
      </c>
      <c r="D22" s="30" t="s">
        <v>3</v>
      </c>
      <c r="E22" s="30" t="s">
        <v>4</v>
      </c>
      <c r="F22" s="30" t="s">
        <v>34</v>
      </c>
      <c r="G22" s="30" t="s">
        <v>50</v>
      </c>
      <c r="H22" s="30" t="s">
        <v>71</v>
      </c>
      <c r="I22" s="30" t="s">
        <v>72</v>
      </c>
      <c r="J22" s="30" t="s">
        <v>73</v>
      </c>
      <c r="K22" s="30" t="s">
        <v>75</v>
      </c>
      <c r="L22" s="30" t="s">
        <v>76</v>
      </c>
      <c r="M22" s="30" t="s">
        <v>79</v>
      </c>
      <c r="N22" s="30" t="s">
        <v>83</v>
      </c>
      <c r="O22" s="30" t="s">
        <v>83</v>
      </c>
      <c r="P22" s="30" t="s">
        <v>88</v>
      </c>
      <c r="Q22" s="30" t="s">
        <v>90</v>
      </c>
      <c r="R22" s="30" t="s">
        <v>98</v>
      </c>
      <c r="S22" s="58" t="s">
        <v>100</v>
      </c>
      <c r="T22" s="58" t="s">
        <v>110</v>
      </c>
      <c r="U22" s="58" t="s">
        <v>111</v>
      </c>
      <c r="V22" s="58" t="s">
        <v>112</v>
      </c>
      <c r="W22" s="58" t="s">
        <v>116</v>
      </c>
    </row>
    <row r="23" spans="1:23" ht="12.75" customHeight="1">
      <c r="A23" s="4" t="s">
        <v>51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5"/>
      <c r="T23" s="15"/>
      <c r="U23" s="15"/>
      <c r="V23" s="15"/>
      <c r="W23" s="15"/>
    </row>
    <row r="24" spans="1:23" ht="12.75" customHeight="1">
      <c r="A24" s="14" t="s">
        <v>52</v>
      </c>
      <c r="B24" s="42">
        <f aca="true" t="shared" si="0" ref="B24:G24">B10/B14</f>
        <v>4.613630878152781</v>
      </c>
      <c r="C24" s="42">
        <f t="shared" si="0"/>
        <v>5.952602448551435</v>
      </c>
      <c r="D24" s="42">
        <f t="shared" si="0"/>
        <v>5.976473342307017</v>
      </c>
      <c r="E24" s="42">
        <f t="shared" si="0"/>
        <v>5.29888128863506</v>
      </c>
      <c r="F24" s="42">
        <f t="shared" si="0"/>
        <v>5.716773037733736</v>
      </c>
      <c r="G24" s="42">
        <f t="shared" si="0"/>
        <v>7.244769195525181</v>
      </c>
      <c r="H24" s="42">
        <f aca="true" t="shared" si="1" ref="H24:M24">H10/H14</f>
        <v>4.69988575780655</v>
      </c>
      <c r="I24" s="42">
        <f t="shared" si="1"/>
        <v>6.1923517906521885</v>
      </c>
      <c r="J24" s="42">
        <f t="shared" si="1"/>
        <v>4.580074398429671</v>
      </c>
      <c r="K24" s="42">
        <f t="shared" si="1"/>
        <v>4.224008767971117</v>
      </c>
      <c r="L24" s="42">
        <f t="shared" si="1"/>
        <v>4.408143984502771</v>
      </c>
      <c r="M24" s="42">
        <f t="shared" si="1"/>
        <v>3.6906538076567883</v>
      </c>
      <c r="N24" s="42">
        <f>N10/N14</f>
        <v>3.6405843035114693</v>
      </c>
      <c r="O24" s="42">
        <f>O10/O14</f>
        <v>4.244101450183448</v>
      </c>
      <c r="P24" s="42">
        <f>P10/P14</f>
        <v>3.477846195445104</v>
      </c>
      <c r="Q24" s="42">
        <v>4.252896620897174</v>
      </c>
      <c r="R24" s="42">
        <f>R10/R14</f>
        <v>2.7643368335798955</v>
      </c>
      <c r="S24" s="64">
        <f>S10/S14</f>
        <v>2.2749153056580877</v>
      </c>
      <c r="T24" s="64">
        <f>T10/T14</f>
        <v>1.9567634915593775</v>
      </c>
      <c r="U24" s="64">
        <f>U10/U14</f>
        <v>1.892417404166982</v>
      </c>
      <c r="V24" s="64">
        <f>V10/V14</f>
        <v>1.4550776187608911</v>
      </c>
      <c r="W24" s="64">
        <f>W10/W14</f>
        <v>1.2114800959909655</v>
      </c>
    </row>
    <row r="25" spans="1:23" ht="12.75" customHeight="1">
      <c r="A25" s="14" t="s">
        <v>53</v>
      </c>
      <c r="B25" s="42">
        <f aca="true" t="shared" si="2" ref="B25:G25">(B10-B7)/B14</f>
        <v>4.08346071845207</v>
      </c>
      <c r="C25" s="42">
        <f t="shared" si="2"/>
        <v>5.087107148279527</v>
      </c>
      <c r="D25" s="42">
        <f t="shared" si="2"/>
        <v>5.324211388775092</v>
      </c>
      <c r="E25" s="42">
        <f t="shared" si="2"/>
        <v>4.767498094709408</v>
      </c>
      <c r="F25" s="42">
        <f t="shared" si="2"/>
        <v>5.123586384503415</v>
      </c>
      <c r="G25" s="42">
        <f t="shared" si="2"/>
        <v>6.566893207590394</v>
      </c>
      <c r="H25" s="42">
        <f aca="true" t="shared" si="3" ref="H25:M25">(H10-H7)/H14</f>
        <v>4.059755013962935</v>
      </c>
      <c r="I25" s="42">
        <f t="shared" si="3"/>
        <v>5.441390706144197</v>
      </c>
      <c r="J25" s="42">
        <f t="shared" si="3"/>
        <v>4.25938559525607</v>
      </c>
      <c r="K25" s="42">
        <f t="shared" si="3"/>
        <v>3.9644510347495325</v>
      </c>
      <c r="L25" s="42">
        <f t="shared" si="3"/>
        <v>3.8728306260817096</v>
      </c>
      <c r="M25" s="42">
        <f t="shared" si="3"/>
        <v>3.4304855861485457</v>
      </c>
      <c r="N25" s="42">
        <f>(N10-N7)/N14</f>
        <v>3.405042834279976</v>
      </c>
      <c r="O25" s="42">
        <f>(O10-O7)/O14</f>
        <v>3.917549099466015</v>
      </c>
      <c r="P25" s="42">
        <f>(P10-P7)/P14</f>
        <v>3.1715521797377186</v>
      </c>
      <c r="Q25" s="42">
        <v>3.517263960907612</v>
      </c>
      <c r="R25" s="42">
        <f>(R10-R7)/R14</f>
        <v>2.1736668417348683</v>
      </c>
      <c r="S25" s="64">
        <f>(S10-S7)/S14</f>
        <v>1.7345654042574707</v>
      </c>
      <c r="T25" s="64">
        <f>(T10-T7)/T14</f>
        <v>1.45213397503237</v>
      </c>
      <c r="U25" s="64">
        <f>(U10-U7)/U14</f>
        <v>1.384105292352689</v>
      </c>
      <c r="V25" s="64">
        <f>(V10-V7)/V14</f>
        <v>1.0609784788876173</v>
      </c>
      <c r="W25" s="64">
        <f>(W10-W7)/W14</f>
        <v>0.9375741106719367</v>
      </c>
    </row>
    <row r="26" spans="1:23" ht="12.75" customHeight="1" thickBot="1">
      <c r="A26" s="36" t="s">
        <v>103</v>
      </c>
      <c r="B26" s="37">
        <f aca="true" t="shared" si="4" ref="B26:G26">B13/B17</f>
        <v>0</v>
      </c>
      <c r="C26" s="37">
        <f t="shared" si="4"/>
        <v>0</v>
      </c>
      <c r="D26" s="37">
        <f t="shared" si="4"/>
        <v>0</v>
      </c>
      <c r="E26" s="37">
        <f t="shared" si="4"/>
        <v>0</v>
      </c>
      <c r="F26" s="37">
        <f t="shared" si="4"/>
        <v>0</v>
      </c>
      <c r="G26" s="37">
        <f t="shared" si="4"/>
        <v>0</v>
      </c>
      <c r="H26" s="37">
        <f aca="true" t="shared" si="5" ref="H26:M26">H13/H17</f>
        <v>0</v>
      </c>
      <c r="I26" s="37">
        <f t="shared" si="5"/>
        <v>0</v>
      </c>
      <c r="J26" s="37">
        <f t="shared" si="5"/>
        <v>0</v>
      </c>
      <c r="K26" s="37">
        <f t="shared" si="5"/>
        <v>0</v>
      </c>
      <c r="L26" s="37">
        <f t="shared" si="5"/>
        <v>0</v>
      </c>
      <c r="M26" s="37">
        <f t="shared" si="5"/>
        <v>0</v>
      </c>
      <c r="N26" s="37">
        <f>N13/N17</f>
        <v>0</v>
      </c>
      <c r="O26" s="37">
        <f>O13/O17</f>
        <v>0</v>
      </c>
      <c r="P26" s="37">
        <f>P13/P17</f>
        <v>0</v>
      </c>
      <c r="Q26" s="37">
        <v>0</v>
      </c>
      <c r="R26" s="37">
        <f>R13/R17</f>
        <v>0</v>
      </c>
      <c r="S26" s="60">
        <f>S13/S17</f>
        <v>0.043952637669009656</v>
      </c>
      <c r="T26" s="60">
        <f>T13/T17</f>
        <v>0.11047723442893836</v>
      </c>
      <c r="U26" s="60">
        <f>U13/U17</f>
        <v>0.1478649314960223</v>
      </c>
      <c r="V26" s="60">
        <f>V13/V17</f>
        <v>0.200625311735307</v>
      </c>
      <c r="W26" s="60">
        <f>W13/W17</f>
        <v>0.2990423376569125</v>
      </c>
    </row>
  </sheetData>
  <sheetProtection/>
  <printOptions horizontalCentered="1"/>
  <pageMargins left="0.69" right="0.34" top="0.74" bottom="0.61" header="0.29" footer="0.21"/>
  <pageSetup fitToHeight="1" fitToWidth="1" horizontalDpi="600" verticalDpi="600" orientation="landscape" paperSize="9" scale="63" r:id="rId1"/>
  <headerFooter alignWithMargins="0">
    <oddHeader>&amp;R&amp;6Printed on &amp;D
&amp;T</oddHeader>
    <oddFooter>&amp;L&amp;"Arial,Italic"&amp;6File: &amp;Z&amp;F - &amp;A&amp;R&amp;"Arial,Italic"&amp;6Page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120" zoomScaleNormal="120" zoomScalePageLayoutView="0" workbookViewId="0" topLeftCell="A1">
      <pane xSplit="1" topLeftCell="Q1" activePane="topRight" state="frozen"/>
      <selection pane="topLeft" activeCell="A1" sqref="A1"/>
      <selection pane="topRight" activeCell="R30" sqref="R30"/>
    </sheetView>
  </sheetViews>
  <sheetFormatPr defaultColWidth="12.8515625" defaultRowHeight="12.75" customHeight="1"/>
  <cols>
    <col min="1" max="1" width="45.7109375" style="1" customWidth="1"/>
    <col min="2" max="2" width="12.7109375" style="2" customWidth="1"/>
    <col min="3" max="11" width="12.7109375" style="3" customWidth="1"/>
    <col min="12" max="18" width="12.8515625" style="3" customWidth="1"/>
    <col min="19" max="22" width="12.8515625" style="54" customWidth="1"/>
    <col min="23" max="16384" width="12.8515625" style="3" customWidth="1"/>
  </cols>
  <sheetData>
    <row r="1" ht="12.75" customHeight="1">
      <c r="A1" s="4" t="s">
        <v>0</v>
      </c>
    </row>
    <row r="2" spans="1:2" ht="12.75" customHeight="1">
      <c r="A2" s="47" t="s">
        <v>43</v>
      </c>
      <c r="B2" s="3"/>
    </row>
    <row r="3" ht="12.75" customHeight="1">
      <c r="B3" s="3"/>
    </row>
    <row r="4" ht="12.75" customHeight="1">
      <c r="B4" s="3"/>
    </row>
    <row r="5" ht="12.75" customHeight="1" thickBot="1">
      <c r="B5" s="3"/>
    </row>
    <row r="6" spans="1:23" ht="12.75" customHeight="1">
      <c r="A6" s="28" t="s">
        <v>7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34</v>
      </c>
      <c r="G6" s="30" t="s">
        <v>6</v>
      </c>
      <c r="H6" s="30" t="s">
        <v>70</v>
      </c>
      <c r="I6" s="30" t="s">
        <v>72</v>
      </c>
      <c r="J6" s="30" t="s">
        <v>73</v>
      </c>
      <c r="K6" s="30" t="s">
        <v>75</v>
      </c>
      <c r="L6" s="30" t="s">
        <v>76</v>
      </c>
      <c r="M6" s="30" t="s">
        <v>79</v>
      </c>
      <c r="N6" s="30" t="s">
        <v>83</v>
      </c>
      <c r="O6" s="30" t="s">
        <v>85</v>
      </c>
      <c r="P6" s="30" t="s">
        <v>87</v>
      </c>
      <c r="Q6" s="30" t="s">
        <v>90</v>
      </c>
      <c r="R6" s="30" t="s">
        <v>93</v>
      </c>
      <c r="S6" s="58" t="s">
        <v>100</v>
      </c>
      <c r="T6" s="58" t="s">
        <v>113</v>
      </c>
      <c r="U6" s="58" t="s">
        <v>114</v>
      </c>
      <c r="V6" s="58" t="s">
        <v>115</v>
      </c>
      <c r="W6" s="58" t="s">
        <v>116</v>
      </c>
    </row>
    <row r="7" spans="1:23" ht="12.75" customHeight="1">
      <c r="A7" s="4" t="s">
        <v>35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5"/>
      <c r="T7" s="15"/>
      <c r="U7" s="15"/>
      <c r="V7" s="15"/>
      <c r="W7" s="15"/>
    </row>
    <row r="8" spans="1:23" ht="12.75" customHeight="1">
      <c r="A8" s="1" t="s">
        <v>36</v>
      </c>
      <c r="B8" s="5">
        <v>47248</v>
      </c>
      <c r="C8" s="5">
        <v>9780</v>
      </c>
      <c r="D8" s="5">
        <v>132794</v>
      </c>
      <c r="E8" s="5">
        <v>180953</v>
      </c>
      <c r="F8" s="5">
        <v>106152</v>
      </c>
      <c r="G8" s="5">
        <v>274198</v>
      </c>
      <c r="H8" s="15">
        <v>269288</v>
      </c>
      <c r="I8" s="15">
        <v>154092</v>
      </c>
      <c r="J8" s="15">
        <v>173890</v>
      </c>
      <c r="K8" s="15">
        <v>170374</v>
      </c>
      <c r="L8" s="15">
        <v>59537</v>
      </c>
      <c r="M8" s="15">
        <v>108289</v>
      </c>
      <c r="N8" s="15">
        <v>165103</v>
      </c>
      <c r="O8" s="15">
        <v>140084</v>
      </c>
      <c r="P8" s="15">
        <v>127952</v>
      </c>
      <c r="Q8" s="15">
        <v>21176</v>
      </c>
      <c r="R8" s="15">
        <v>76689</v>
      </c>
      <c r="S8" s="15">
        <v>18901</v>
      </c>
      <c r="T8" s="15">
        <v>30140</v>
      </c>
      <c r="U8" s="15">
        <v>44617</v>
      </c>
      <c r="V8" s="15">
        <v>11558</v>
      </c>
      <c r="W8" s="15">
        <v>21724</v>
      </c>
    </row>
    <row r="9" spans="1:23" ht="12.75" customHeight="1">
      <c r="A9" s="1" t="s">
        <v>37</v>
      </c>
      <c r="B9" s="5">
        <v>-64273</v>
      </c>
      <c r="C9" s="5">
        <v>-4007</v>
      </c>
      <c r="D9" s="5">
        <v>-23071</v>
      </c>
      <c r="E9" s="5">
        <v>-19512</v>
      </c>
      <c r="F9" s="5">
        <v>-21757</v>
      </c>
      <c r="G9" s="5">
        <v>112442</v>
      </c>
      <c r="H9" s="5">
        <v>-2413</v>
      </c>
      <c r="I9" s="15">
        <v>-4205</v>
      </c>
      <c r="J9" s="15">
        <v>-27665</v>
      </c>
      <c r="K9" s="15">
        <v>-40521</v>
      </c>
      <c r="L9" s="15">
        <v>-50641</v>
      </c>
      <c r="M9" s="15">
        <v>-13133</v>
      </c>
      <c r="N9" s="15">
        <v>-4687</v>
      </c>
      <c r="O9" s="15">
        <v>-46055</v>
      </c>
      <c r="P9" s="15">
        <v>11742</v>
      </c>
      <c r="Q9" s="15">
        <v>-32003</v>
      </c>
      <c r="R9" s="15">
        <v>-67729</v>
      </c>
      <c r="S9" s="15">
        <v>-58625</v>
      </c>
      <c r="T9" s="15">
        <v>-48890</v>
      </c>
      <c r="U9" s="15">
        <v>-29157</v>
      </c>
      <c r="V9" s="15">
        <v>-38770</v>
      </c>
      <c r="W9" s="15">
        <v>-67607</v>
      </c>
    </row>
    <row r="10" spans="1:23" ht="12.75" customHeight="1">
      <c r="A10" s="1" t="s">
        <v>38</v>
      </c>
      <c r="B10" s="11">
        <v>157224</v>
      </c>
      <c r="C10" s="11">
        <v>-52006</v>
      </c>
      <c r="D10" s="11">
        <v>-45000</v>
      </c>
      <c r="E10" s="11">
        <v>-61305</v>
      </c>
      <c r="F10" s="11">
        <v>-80326</v>
      </c>
      <c r="G10" s="11">
        <v>-179885</v>
      </c>
      <c r="H10" s="11">
        <v>-299655</v>
      </c>
      <c r="I10" s="40">
        <v>-137091</v>
      </c>
      <c r="J10" s="40">
        <v>-150196</v>
      </c>
      <c r="K10" s="40">
        <v>-160168</v>
      </c>
      <c r="L10" s="40">
        <v>-140936</v>
      </c>
      <c r="M10" s="40">
        <v>-25627</v>
      </c>
      <c r="N10" s="40">
        <v>-74678</v>
      </c>
      <c r="O10" s="40">
        <v>-142309</v>
      </c>
      <c r="P10" s="40">
        <v>-190600</v>
      </c>
      <c r="Q10" s="40">
        <v>-160568</v>
      </c>
      <c r="R10" s="40">
        <v>-96101</v>
      </c>
      <c r="S10" s="40">
        <v>20024</v>
      </c>
      <c r="T10" s="40">
        <v>28061</v>
      </c>
      <c r="U10" s="40">
        <v>10422</v>
      </c>
      <c r="V10" s="40">
        <v>13211</v>
      </c>
      <c r="W10" s="40">
        <v>42628</v>
      </c>
    </row>
    <row r="11" spans="1:23" ht="12.75" customHeight="1">
      <c r="A11" s="1" t="s">
        <v>39</v>
      </c>
      <c r="B11" s="5">
        <f aca="true" t="shared" si="0" ref="B11:I11">SUM(B8:B10)</f>
        <v>140199</v>
      </c>
      <c r="C11" s="5">
        <f t="shared" si="0"/>
        <v>-46233</v>
      </c>
      <c r="D11" s="5">
        <f t="shared" si="0"/>
        <v>64723</v>
      </c>
      <c r="E11" s="5">
        <f t="shared" si="0"/>
        <v>100136</v>
      </c>
      <c r="F11" s="5">
        <f t="shared" si="0"/>
        <v>4069</v>
      </c>
      <c r="G11" s="5">
        <f t="shared" si="0"/>
        <v>206755</v>
      </c>
      <c r="H11" s="5">
        <f t="shared" si="0"/>
        <v>-32780</v>
      </c>
      <c r="I11" s="15">
        <f t="shared" si="0"/>
        <v>12796</v>
      </c>
      <c r="J11" s="15">
        <f aca="true" t="shared" si="1" ref="J11:O11">SUM(J8:J10)</f>
        <v>-3971</v>
      </c>
      <c r="K11" s="15">
        <f t="shared" si="1"/>
        <v>-30315</v>
      </c>
      <c r="L11" s="15">
        <f t="shared" si="1"/>
        <v>-132040</v>
      </c>
      <c r="M11" s="15">
        <f t="shared" si="1"/>
        <v>69529</v>
      </c>
      <c r="N11" s="15">
        <f t="shared" si="1"/>
        <v>85738</v>
      </c>
      <c r="O11" s="15">
        <f t="shared" si="1"/>
        <v>-48280</v>
      </c>
      <c r="P11" s="15">
        <f>SUM(P8:P10)</f>
        <v>-50906</v>
      </c>
      <c r="Q11" s="15">
        <v>-171395</v>
      </c>
      <c r="R11" s="15">
        <v>-87141</v>
      </c>
      <c r="S11" s="15">
        <f>SUM(S8:S10)</f>
        <v>-19700</v>
      </c>
      <c r="T11" s="15">
        <f>SUM(T8:T10)</f>
        <v>9311</v>
      </c>
      <c r="U11" s="15">
        <f>SUM(U8:U10)</f>
        <v>25882</v>
      </c>
      <c r="V11" s="15">
        <f>SUM(V8:V10)</f>
        <v>-14001</v>
      </c>
      <c r="W11" s="15">
        <f>SUM(W8:W10)</f>
        <v>-3255</v>
      </c>
    </row>
    <row r="12" spans="1:23" ht="12.75" customHeight="1">
      <c r="A12" s="1" t="s">
        <v>106</v>
      </c>
      <c r="B12" s="5">
        <v>76110</v>
      </c>
      <c r="C12" s="5">
        <v>216778</v>
      </c>
      <c r="D12" s="5">
        <v>170265</v>
      </c>
      <c r="E12" s="5">
        <v>235920</v>
      </c>
      <c r="F12" s="5">
        <v>338748</v>
      </c>
      <c r="G12" s="5">
        <v>356243</v>
      </c>
      <c r="H12" s="5">
        <v>588741</v>
      </c>
      <c r="I12" s="15">
        <v>546205</v>
      </c>
      <c r="J12" s="15">
        <v>559346</v>
      </c>
      <c r="K12" s="15">
        <f>J15</f>
        <v>575488</v>
      </c>
      <c r="L12" s="15">
        <v>558292</v>
      </c>
      <c r="M12" s="15">
        <v>432441</v>
      </c>
      <c r="N12" s="15">
        <f>M15</f>
        <v>507409</v>
      </c>
      <c r="O12" s="15">
        <f>N15</f>
        <v>583283</v>
      </c>
      <c r="P12" s="15">
        <f>O15</f>
        <v>502721</v>
      </c>
      <c r="Q12" s="15">
        <v>428633</v>
      </c>
      <c r="R12" s="15">
        <v>288903</v>
      </c>
      <c r="S12" s="15">
        <f>R15</f>
        <v>181024</v>
      </c>
      <c r="T12" s="15">
        <f>S15</f>
        <v>145696</v>
      </c>
      <c r="U12" s="15">
        <f>T15</f>
        <v>161978</v>
      </c>
      <c r="V12" s="15">
        <f>U15</f>
        <v>193337</v>
      </c>
      <c r="W12" s="15">
        <f>V15</f>
        <v>168609</v>
      </c>
    </row>
    <row r="13" spans="1:23" ht="22.5" customHeight="1">
      <c r="A13" s="61" t="s">
        <v>105</v>
      </c>
      <c r="B13" s="5"/>
      <c r="C13" s="5"/>
      <c r="D13" s="5"/>
      <c r="E13" s="5"/>
      <c r="F13" s="5"/>
      <c r="G13" s="5"/>
      <c r="H13" s="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65">
        <v>-12666</v>
      </c>
      <c r="T13" s="65">
        <v>-2684</v>
      </c>
      <c r="U13" s="65">
        <v>1415</v>
      </c>
      <c r="V13" s="65">
        <f>8017-8871</f>
        <v>-854</v>
      </c>
      <c r="W13" s="65">
        <f>8062-8017</f>
        <v>45</v>
      </c>
    </row>
    <row r="14" spans="1:23" ht="12.75" customHeight="1">
      <c r="A14" s="1" t="s">
        <v>40</v>
      </c>
      <c r="B14" s="11">
        <v>469</v>
      </c>
      <c r="C14" s="11">
        <v>-280</v>
      </c>
      <c r="D14" s="11">
        <v>932</v>
      </c>
      <c r="E14" s="11">
        <v>2692</v>
      </c>
      <c r="F14" s="11">
        <v>13426</v>
      </c>
      <c r="G14" s="11">
        <v>25743</v>
      </c>
      <c r="H14" s="11">
        <v>-9756</v>
      </c>
      <c r="I14" s="40">
        <v>345</v>
      </c>
      <c r="J14" s="40">
        <v>20113</v>
      </c>
      <c r="K14" s="40">
        <v>13119</v>
      </c>
      <c r="L14" s="40">
        <v>6189</v>
      </c>
      <c r="M14" s="40">
        <v>5439</v>
      </c>
      <c r="N14" s="40">
        <v>-9864</v>
      </c>
      <c r="O14" s="40">
        <v>-32282</v>
      </c>
      <c r="P14" s="40">
        <v>-23182</v>
      </c>
      <c r="Q14" s="40">
        <v>31665</v>
      </c>
      <c r="R14" s="40">
        <v>-20738</v>
      </c>
      <c r="S14" s="40">
        <v>-2962</v>
      </c>
      <c r="T14" s="40">
        <v>9655</v>
      </c>
      <c r="U14" s="40">
        <v>4062</v>
      </c>
      <c r="V14" s="40">
        <v>-9873</v>
      </c>
      <c r="W14" s="40">
        <v>1406</v>
      </c>
    </row>
    <row r="15" spans="1:23" ht="12.75" customHeight="1" thickBot="1">
      <c r="A15" s="31" t="s">
        <v>101</v>
      </c>
      <c r="B15" s="23">
        <f aca="true" t="shared" si="2" ref="B15:I15">SUM(B11:B14)</f>
        <v>216778</v>
      </c>
      <c r="C15" s="23">
        <f t="shared" si="2"/>
        <v>170265</v>
      </c>
      <c r="D15" s="23">
        <f t="shared" si="2"/>
        <v>235920</v>
      </c>
      <c r="E15" s="23">
        <f t="shared" si="2"/>
        <v>338748</v>
      </c>
      <c r="F15" s="23">
        <f t="shared" si="2"/>
        <v>356243</v>
      </c>
      <c r="G15" s="23">
        <f t="shared" si="2"/>
        <v>588741</v>
      </c>
      <c r="H15" s="23">
        <f t="shared" si="2"/>
        <v>546205</v>
      </c>
      <c r="I15" s="23">
        <f t="shared" si="2"/>
        <v>559346</v>
      </c>
      <c r="J15" s="23">
        <f aca="true" t="shared" si="3" ref="J15:O15">SUM(J11:J14)</f>
        <v>575488</v>
      </c>
      <c r="K15" s="23">
        <f t="shared" si="3"/>
        <v>558292</v>
      </c>
      <c r="L15" s="23">
        <f t="shared" si="3"/>
        <v>432441</v>
      </c>
      <c r="M15" s="23">
        <f t="shared" si="3"/>
        <v>507409</v>
      </c>
      <c r="N15" s="23">
        <f t="shared" si="3"/>
        <v>583283</v>
      </c>
      <c r="O15" s="23">
        <f t="shared" si="3"/>
        <v>502721</v>
      </c>
      <c r="P15" s="23">
        <f>SUM(P11:P14)</f>
        <v>428633</v>
      </c>
      <c r="Q15" s="23">
        <v>288903</v>
      </c>
      <c r="R15" s="23">
        <f>SUM(R11:R14)</f>
        <v>181024</v>
      </c>
      <c r="S15" s="41">
        <f>SUM(S11:S14)</f>
        <v>145696</v>
      </c>
      <c r="T15" s="41">
        <f>SUM(T11:T14)</f>
        <v>161978</v>
      </c>
      <c r="U15" s="41">
        <f>SUM(U11:U14)</f>
        <v>193337</v>
      </c>
      <c r="V15" s="41">
        <f>SUM(V11:V14)</f>
        <v>168609</v>
      </c>
      <c r="W15" s="41">
        <f>SUM(W11:W14)</f>
        <v>166805</v>
      </c>
    </row>
    <row r="18" spans="19:22" ht="12.75" customHeight="1">
      <c r="S18" s="54">
        <f>S15-'Balance Sheet'!S9</f>
        <v>0</v>
      </c>
      <c r="T18" s="54">
        <f>T15-'Balance Sheet'!T9</f>
        <v>0</v>
      </c>
      <c r="U18" s="54">
        <f>U15-'Balance Sheet'!U9</f>
        <v>0</v>
      </c>
      <c r="V18" s="54">
        <f>V15-'Balance Sheet'!V9</f>
        <v>0</v>
      </c>
    </row>
  </sheetData>
  <sheetProtection/>
  <printOptions horizontalCentered="1"/>
  <pageMargins left="0.69" right="0.34" top="0.74" bottom="0.61" header="0.29" footer="0.21"/>
  <pageSetup fitToHeight="1" fitToWidth="1" horizontalDpi="600" verticalDpi="600" orientation="landscape" paperSize="9" scale="58" r:id="rId1"/>
  <headerFooter alignWithMargins="0">
    <oddHeader>&amp;R&amp;6Printed on &amp;D
&amp;T</oddHeader>
    <oddFooter>&amp;L&amp;"Arial,Italic"&amp;6File: &amp;Z&amp;F - &amp;A&amp;R&amp;"Arial,Italic"&amp;6Page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12" sqref="AA12"/>
    </sheetView>
  </sheetViews>
  <sheetFormatPr defaultColWidth="9.140625" defaultRowHeight="12.75"/>
  <cols>
    <col min="1" max="1" width="20.421875" style="0" customWidth="1"/>
    <col min="2" max="2" width="14.00390625" style="0" customWidth="1"/>
    <col min="3" max="16" width="11.28125" style="0" customWidth="1"/>
    <col min="20" max="20" width="8.7109375" style="66" customWidth="1"/>
  </cols>
  <sheetData>
    <row r="1" spans="1:2" ht="12.75">
      <c r="A1" s="4" t="s">
        <v>0</v>
      </c>
      <c r="B1" s="4"/>
    </row>
    <row r="2" ht="12.75">
      <c r="A2" s="47" t="s">
        <v>67</v>
      </c>
    </row>
    <row r="3" ht="12.75"/>
    <row r="4" ht="13.5" thickBot="1"/>
    <row r="5" spans="1:24" ht="12.75">
      <c r="A5" s="28" t="s">
        <v>74</v>
      </c>
      <c r="B5" s="29"/>
      <c r="C5" s="30" t="s">
        <v>1</v>
      </c>
      <c r="D5" s="30" t="s">
        <v>2</v>
      </c>
      <c r="E5" s="30" t="s">
        <v>3</v>
      </c>
      <c r="F5" s="30" t="s">
        <v>4</v>
      </c>
      <c r="G5" s="30" t="s">
        <v>34</v>
      </c>
      <c r="H5" s="30" t="s">
        <v>50</v>
      </c>
      <c r="I5" s="30" t="s">
        <v>71</v>
      </c>
      <c r="J5" s="30" t="s">
        <v>72</v>
      </c>
      <c r="K5" s="30" t="s">
        <v>73</v>
      </c>
      <c r="L5" s="30" t="s">
        <v>75</v>
      </c>
      <c r="M5" s="30" t="s">
        <v>76</v>
      </c>
      <c r="N5" s="30" t="s">
        <v>80</v>
      </c>
      <c r="O5" s="30" t="s">
        <v>83</v>
      </c>
      <c r="P5" s="30" t="s">
        <v>86</v>
      </c>
      <c r="Q5" s="30" t="s">
        <v>87</v>
      </c>
      <c r="R5" s="30" t="s">
        <v>90</v>
      </c>
      <c r="S5" s="30" t="s">
        <v>94</v>
      </c>
      <c r="T5" s="58" t="s">
        <v>100</v>
      </c>
      <c r="U5" s="58" t="s">
        <v>110</v>
      </c>
      <c r="V5" s="58" t="s">
        <v>111</v>
      </c>
      <c r="W5" s="58" t="s">
        <v>112</v>
      </c>
      <c r="X5" s="58" t="s">
        <v>116</v>
      </c>
    </row>
    <row r="6" spans="1:24" ht="12.75">
      <c r="A6" s="4" t="s">
        <v>54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59"/>
      <c r="U6" s="59"/>
      <c r="V6" s="59"/>
      <c r="W6" s="59"/>
      <c r="X6" s="59"/>
    </row>
    <row r="7" spans="1:24" ht="12.75">
      <c r="A7" s="3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53"/>
      <c r="U7" s="53"/>
      <c r="V7" s="53"/>
      <c r="W7" s="53"/>
      <c r="X7" s="53"/>
    </row>
    <row r="8" spans="1:24" ht="12.75">
      <c r="A8" s="32" t="s">
        <v>55</v>
      </c>
      <c r="B8" s="43"/>
      <c r="C8" s="43">
        <v>221.74414584677794</v>
      </c>
      <c r="D8" s="43">
        <f>365*('Balance Sheet'!B7+'Balance Sheet'!C7)/2/'Income Statements'!C9</f>
        <v>344.2423846254412</v>
      </c>
      <c r="E8" s="43">
        <f>365*('Balance Sheet'!C7+'Balance Sheet'!D7)/2/'Income Statements'!D9</f>
        <v>262.65132274489315</v>
      </c>
      <c r="F8" s="43">
        <f>365*('Balance Sheet'!D7+'Balance Sheet'!E7)/2/'Income Statements'!E9</f>
        <v>279.325151072856</v>
      </c>
      <c r="G8" s="43">
        <f>365*('Balance Sheet'!E7+'Balance Sheet'!F7)/2/'Income Statements'!F9</f>
        <v>318.7941069479811</v>
      </c>
      <c r="H8" s="43">
        <f>365*('Balance Sheet'!F7+'Balance Sheet'!G7)/2/'Income Statements'!G9</f>
        <v>316.6394879661738</v>
      </c>
      <c r="I8" s="43">
        <f>365*('Balance Sheet'!G7+'Balance Sheet'!H7)/2/'Income Statements'!H9</f>
        <v>364.30477805393605</v>
      </c>
      <c r="J8" s="43">
        <f>365*('Balance Sheet'!H7+'Balance Sheet'!I7)/2/'Income Statements'!I9</f>
        <v>282.01359904973435</v>
      </c>
      <c r="K8" s="43">
        <f>365*('Balance Sheet'!I7+'Balance Sheet'!J7)/2/'Income Statements'!J9</f>
        <v>190.63344666056443</v>
      </c>
      <c r="L8" s="43">
        <f>365*('Balance Sheet'!J7+'Balance Sheet'!K7)/2/'Income Statements'!K9</f>
        <v>129.94844959971186</v>
      </c>
      <c r="M8" s="43">
        <f>365*('Balance Sheet'!K7+'Balance Sheet'!L7)/2/'Income Statements'!L9</f>
        <v>189.714239516565</v>
      </c>
      <c r="N8" s="43">
        <f>365*('Balance Sheet'!L7+'Balance Sheet'!M7)/2/'Income Statements'!M9</f>
        <v>196.49462476839005</v>
      </c>
      <c r="O8" s="43">
        <f>365*('Balance Sheet'!M7+'Balance Sheet'!N7)/2/'Income Statements'!N9</f>
        <v>143.65706824185125</v>
      </c>
      <c r="P8" s="43">
        <f>365*('Balance Sheet'!N7+'Balance Sheet'!O7)/2/'Income Statements'!O9</f>
        <v>153.34843582924356</v>
      </c>
      <c r="Q8" s="43">
        <f>365*('Balance Sheet'!O7+'Balance Sheet'!P7)/2/'Income Statements'!P9</f>
        <v>144.29112253403724</v>
      </c>
      <c r="R8" s="43">
        <v>260.64860672615714</v>
      </c>
      <c r="S8" s="53">
        <f>365*('Balance Sheet'!Q7+'Balance Sheet'!R7)/2/('Income Statements'!R9-16020)</f>
        <v>222.65527307168858</v>
      </c>
      <c r="T8" s="53">
        <f>365*('Balance Sheet'!R7+'Balance Sheet'!S7)/2/('Income Statements'!S9-13586)</f>
        <v>183.12797867597658</v>
      </c>
      <c r="U8" s="53">
        <f>365*('Balance Sheet'!S7+'Balance Sheet'!T7)/2/('Income Statements'!T9-14153)</f>
        <v>220.70463499791794</v>
      </c>
      <c r="V8" s="53">
        <f>365*('Balance Sheet'!T7+'Balance Sheet'!U7)/2/('Income Statements'!U9-10632)</f>
        <v>239.06988257974064</v>
      </c>
      <c r="W8" s="53">
        <f>365*('Balance Sheet'!U7+'Balance Sheet'!V7)/2/('Income Statements'!V9-8669)</f>
        <v>290.49644773719774</v>
      </c>
      <c r="X8" s="53">
        <f>365*('Balance Sheet'!V7+'Balance Sheet'!W7)/2/('Income Statements'!W9-8669)</f>
        <v>253.5508578672609</v>
      </c>
    </row>
    <row r="9" spans="1:24" ht="12.75">
      <c r="A9" s="32" t="s">
        <v>56</v>
      </c>
      <c r="B9" s="43"/>
      <c r="C9" s="43">
        <v>54.156460459519074</v>
      </c>
      <c r="D9" s="43">
        <f>365*('Balance Sheet'!C8+'Balance Sheet'!B8)/2/'Income Statements'!C8</f>
        <v>66.26162968702161</v>
      </c>
      <c r="E9" s="43">
        <f>365*('Balance Sheet'!D8+'Balance Sheet'!C8)/2/'Income Statements'!D8</f>
        <v>64.9890825426786</v>
      </c>
      <c r="F9" s="43">
        <f>365*('Balance Sheet'!E8+'Balance Sheet'!D8)/2/'Income Statements'!E8</f>
        <v>69.94398825422725</v>
      </c>
      <c r="G9" s="43">
        <f>365*('Balance Sheet'!F8+'Balance Sheet'!E8)/2/'Income Statements'!F8</f>
        <v>82.22298664452667</v>
      </c>
      <c r="H9" s="43">
        <f>365*('Balance Sheet'!G8+'Balance Sheet'!F8)/2/'Income Statements'!G8</f>
        <v>58.92460129690968</v>
      </c>
      <c r="I9" s="43">
        <f>365*('Balance Sheet'!H8+'Balance Sheet'!G8)/2/'Income Statements'!H8</f>
        <v>38.38220704874802</v>
      </c>
      <c r="J9" s="43">
        <f>365*('Balance Sheet'!I8+'Balance Sheet'!H8)/2/'Income Statements'!I8</f>
        <v>42.2940965485456</v>
      </c>
      <c r="K9" s="43">
        <f>365*('Balance Sheet'!J8+'Balance Sheet'!I8)/2/'Income Statements'!J8</f>
        <v>29.313457865753037</v>
      </c>
      <c r="L9" s="43">
        <f>365*('Balance Sheet'!K8+'Balance Sheet'!J8)/2/'Income Statements'!K8</f>
        <v>13.84919118206648</v>
      </c>
      <c r="M9" s="43">
        <f>365*('Balance Sheet'!L8+'Balance Sheet'!K8)/2/'Income Statements'!L8</f>
        <v>18.735546233436345</v>
      </c>
      <c r="N9" s="43">
        <f>365*('Balance Sheet'!M8+'Balance Sheet'!L8)/2/'Income Statements'!M8</f>
        <v>44.440405670188724</v>
      </c>
      <c r="O9" s="43">
        <f>365*('Balance Sheet'!N8+'Balance Sheet'!M8)/2/'Income Statements'!N8</f>
        <v>48.526804162440364</v>
      </c>
      <c r="P9" s="43">
        <f>365*('Balance Sheet'!O8+'Balance Sheet'!N8)/2/'Income Statements'!O8</f>
        <v>33.126374742805965</v>
      </c>
      <c r="Q9" s="43">
        <f>365*('Balance Sheet'!P8+'Balance Sheet'!O8)/2/'Income Statements'!P8</f>
        <v>43.84915566310695</v>
      </c>
      <c r="R9" s="43">
        <v>78.15698088190774</v>
      </c>
      <c r="S9" s="43">
        <f>365*('Balance Sheet'!R8+'Balance Sheet'!Q8)/2/'Income Statements'!R8</f>
        <v>83.50498131892259</v>
      </c>
      <c r="T9" s="53">
        <f>365*('Balance Sheet'!S8+'Balance Sheet'!R8)/2/'Income Statements'!S8</f>
        <v>70.66072685684642</v>
      </c>
      <c r="U9" s="53">
        <f>365*('Balance Sheet'!T8+'Balance Sheet'!S8)/2/'Income Statements'!T8</f>
        <v>94.445848643568</v>
      </c>
      <c r="V9" s="53">
        <f>365*('Balance Sheet'!U8+'Balance Sheet'!T8)/2/'Income Statements'!U8</f>
        <v>85.62471556548657</v>
      </c>
      <c r="W9" s="53">
        <f>365*('Balance Sheet'!V8+'Balance Sheet'!U8)/2/'Income Statements'!V8</f>
        <v>103.75571632725973</v>
      </c>
      <c r="X9" s="53">
        <f>365*('Balance Sheet'!W8+'Balance Sheet'!V8)/2/'Income Statements'!W8</f>
        <v>70.57600851152478</v>
      </c>
    </row>
    <row r="10" spans="1:24" ht="12.75">
      <c r="A10" s="32" t="s">
        <v>57</v>
      </c>
      <c r="B10" s="43"/>
      <c r="C10" s="43">
        <v>63.097688300912694</v>
      </c>
      <c r="D10" s="43">
        <f>365*('Balance Sheet'!C12+'Balance Sheet'!B12)/2/'Income Statements'!C9</f>
        <v>66.877696430906</v>
      </c>
      <c r="E10" s="43">
        <f>365*('Balance Sheet'!D12+'Balance Sheet'!C12)/2/'Income Statements'!D9</f>
        <v>38.90136831488255</v>
      </c>
      <c r="F10" s="43">
        <f>365*('Balance Sheet'!E12+'Balance Sheet'!D12)/2/'Income Statements'!E9</f>
        <v>66.49603050102989</v>
      </c>
      <c r="G10" s="43">
        <f>365*('Balance Sheet'!F12+'Balance Sheet'!E12)/2/'Income Statements'!F9</f>
        <v>88.16296835212805</v>
      </c>
      <c r="H10" s="43">
        <f>365*('Balance Sheet'!G12+'Balance Sheet'!F12)/2/'Income Statements'!G9</f>
        <v>90.38776378379075</v>
      </c>
      <c r="I10" s="43">
        <f>365*('Balance Sheet'!H12+'Balance Sheet'!G12)/2/'Income Statements'!H9</f>
        <v>75.98267171494274</v>
      </c>
      <c r="J10" s="43">
        <f>365*('Balance Sheet'!I12+'Balance Sheet'!H12)/2/'Income Statements'!I9</f>
        <v>38.77380748985055</v>
      </c>
      <c r="K10" s="43">
        <f>365*('Balance Sheet'!J12+'Balance Sheet'!I12)/2/'Income Statements'!J9</f>
        <v>35.25008268785527</v>
      </c>
      <c r="L10" s="43">
        <f>365*('Balance Sheet'!K12+'Balance Sheet'!J12)/2/'Income Statements'!K9</f>
        <v>52.85630965439335</v>
      </c>
      <c r="M10" s="43">
        <f>365*('Balance Sheet'!L12+'Balance Sheet'!K12)/2/'Income Statements'!L9</f>
        <v>71.09241061085798</v>
      </c>
      <c r="N10" s="43">
        <f>365*('Balance Sheet'!M12+'Balance Sheet'!L12)/2/'Income Statements'!M9</f>
        <v>67.40867279276907</v>
      </c>
      <c r="O10" s="43">
        <f>365*('Balance Sheet'!N12+'Balance Sheet'!M12)/2/'Income Statements'!N9</f>
        <v>62.15836332395859</v>
      </c>
      <c r="P10" s="43">
        <f>365*('Balance Sheet'!O12+'Balance Sheet'!N12)/2/'Income Statements'!O9</f>
        <v>55.906355386176074</v>
      </c>
      <c r="Q10" s="43">
        <f>365*('Balance Sheet'!P12+'Balance Sheet'!O12)/2/'Income Statements'!P9</f>
        <v>53.42591079221352</v>
      </c>
      <c r="R10" s="43">
        <f>365*('Balance Sheet'!Q12+'Balance Sheet'!P12)/2/'Income Statements'!Q9</f>
        <v>81.9140066751065</v>
      </c>
      <c r="S10" s="43">
        <f>365*('Balance Sheet'!R12+'Balance Sheet'!Q12)/2/'Income Statements'!R9</f>
        <v>52.33471391729289</v>
      </c>
      <c r="T10" s="53">
        <f>365*('Balance Sheet'!S12+'Balance Sheet'!R12)/2/'Income Statements'!S9</f>
        <v>49.392933188289206</v>
      </c>
      <c r="U10" s="53">
        <f>365*('Balance Sheet'!T12+'Balance Sheet'!S12)/2/'Income Statements'!T9</f>
        <v>56.15920598186175</v>
      </c>
      <c r="V10" s="53">
        <f>365*('Balance Sheet'!U12+'Balance Sheet'!T12)/2/'Income Statements'!U9</f>
        <v>41.45427694541615</v>
      </c>
      <c r="W10" s="53">
        <f>365*('Balance Sheet'!V12+'Balance Sheet'!U12)/2/'Income Statements'!V9</f>
        <v>30.984582623509368</v>
      </c>
      <c r="X10" s="53">
        <f>365*('Balance Sheet'!W12+'Balance Sheet'!V12)/2/'Income Statements'!W9</f>
        <v>41.034587602270214</v>
      </c>
    </row>
    <row r="11" spans="1:24" ht="12.75">
      <c r="A11" s="32" t="s">
        <v>58</v>
      </c>
      <c r="B11" s="33"/>
      <c r="C11" s="33">
        <v>0</v>
      </c>
      <c r="D11" s="33">
        <v>0</v>
      </c>
      <c r="E11" s="33">
        <v>0.07957794580669184</v>
      </c>
      <c r="F11" s="33">
        <v>0.09968150399933129</v>
      </c>
      <c r="G11" s="33">
        <v>0.1401986255304476</v>
      </c>
      <c r="H11" s="33">
        <v>0.19646206243005368</v>
      </c>
      <c r="I11" s="33">
        <v>0.28057437997082213</v>
      </c>
      <c r="J11" s="33">
        <v>0.1723754207551821</v>
      </c>
      <c r="K11" s="33">
        <v>0.03999698454194425</v>
      </c>
      <c r="L11" s="33">
        <v>0.14606088672075718</v>
      </c>
      <c r="M11" s="33">
        <v>0.15945005053502959</v>
      </c>
      <c r="N11" s="33">
        <v>0.07392122883624397</v>
      </c>
      <c r="O11" s="33">
        <f>'Income Statements'!N12/'Balance Sheet'!N17</f>
        <v>0.09236263835659628</v>
      </c>
      <c r="P11" s="33">
        <f>'Income Statements'!O12/'Balance Sheet'!O17</f>
        <v>0.18676599856953324</v>
      </c>
      <c r="Q11" s="33">
        <f>'Income Statements'!P12/'Balance Sheet'!P17</f>
        <v>0.2266826339256392</v>
      </c>
      <c r="R11" s="33">
        <v>0.16194990241384355</v>
      </c>
      <c r="S11" s="33">
        <f>'Income Statements'!R12/'Balance Sheet'!R17</f>
        <v>0.047583476633439196</v>
      </c>
      <c r="T11" s="59">
        <f>'Income Statements'!S12/'Balance Sheet'!S17</f>
        <v>0.0385844841341827</v>
      </c>
      <c r="U11" s="59">
        <f>'Income Statements'!T12/'Balance Sheet'!T17</f>
        <v>0.01269243983443221</v>
      </c>
      <c r="V11" s="59">
        <f>'Income Statements'!U12/'Balance Sheet'!U17</f>
        <v>0.053599384725756094</v>
      </c>
      <c r="W11" s="59">
        <f>'Income Statements'!V12/'Balance Sheet'!V17</f>
        <v>-0.05100240684763215</v>
      </c>
      <c r="X11" s="59">
        <f>'Income Statements'!W12/'Balance Sheet'!W17</f>
        <v>-0.026301773294066043</v>
      </c>
    </row>
    <row r="12" spans="1:24" ht="13.5" thickBot="1">
      <c r="A12" s="36" t="s">
        <v>59</v>
      </c>
      <c r="B12" s="37"/>
      <c r="C12" s="37">
        <v>0</v>
      </c>
      <c r="D12" s="37">
        <v>0</v>
      </c>
      <c r="E12" s="37">
        <v>0.0702730743553599</v>
      </c>
      <c r="F12" s="37">
        <v>0.08715165454017862</v>
      </c>
      <c r="G12" s="37">
        <v>0.12348695948519536</v>
      </c>
      <c r="H12" s="37">
        <v>0.17311302568792053</v>
      </c>
      <c r="I12" s="37">
        <v>0.23238253562080868</v>
      </c>
      <c r="J12" s="37">
        <v>0.14973797155863142</v>
      </c>
      <c r="K12" s="37">
        <v>0.033268114240045235</v>
      </c>
      <c r="L12" s="37">
        <v>0.12009167287346681</v>
      </c>
      <c r="M12" s="37">
        <v>0.13490939528991244</v>
      </c>
      <c r="N12" s="37">
        <v>0.0603330190302698</v>
      </c>
      <c r="O12" s="37">
        <f>'Income Statements'!N12/'Balance Sheet'!N11</f>
        <v>0.07310811778302803</v>
      </c>
      <c r="P12" s="37">
        <f>'Income Statements'!O12/'Balance Sheet'!O11</f>
        <v>0.15398431459930656</v>
      </c>
      <c r="Q12" s="37">
        <f>'Income Statements'!P12/'Balance Sheet'!P11</f>
        <v>0.180498086807608</v>
      </c>
      <c r="R12" s="37">
        <v>0.1354805688886061</v>
      </c>
      <c r="S12" s="37">
        <f>'Income Statements'!R12/'Balance Sheet'!R11</f>
        <v>0.03867526359087687</v>
      </c>
      <c r="T12" s="60">
        <f>'Income Statements'!S12/'Balance Sheet'!S11</f>
        <v>0.028925270662793767</v>
      </c>
      <c r="U12" s="60">
        <f>'Income Statements'!T12/'Balance Sheet'!T11</f>
        <v>0.009324833047266013</v>
      </c>
      <c r="V12" s="60">
        <f>'Income Statements'!U12/'Balance Sheet'!U11</f>
        <v>0.03790018528788407</v>
      </c>
      <c r="W12" s="60">
        <f>'Income Statements'!V12/'Balance Sheet'!V11</f>
        <v>-0.03493257549790269</v>
      </c>
      <c r="X12" s="60">
        <f>'Income Statements'!W12/'Balance Sheet'!W11</f>
        <v>-0.017320507912346378</v>
      </c>
    </row>
    <row r="26" ht="12">
      <c r="I26">
        <f>365*('Balance Sheet'!Q7+'Balance Sheet'!R7)/2/'Income Statements'!R9</f>
        <v>198.33492954152902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SheetLayoutView="115" zoomScalePageLayoutView="0" workbookViewId="0" topLeftCell="A1">
      <pane xSplit="1" topLeftCell="M1" activePane="topRight" state="frozen"/>
      <selection pane="topLeft" activeCell="A1" sqref="A1"/>
      <selection pane="topRight" activeCell="O29" sqref="O29"/>
    </sheetView>
  </sheetViews>
  <sheetFormatPr defaultColWidth="9.140625" defaultRowHeight="12.75"/>
  <cols>
    <col min="1" max="1" width="20.7109375" style="0" customWidth="1"/>
    <col min="2" max="15" width="12.140625" style="0" customWidth="1"/>
    <col min="16" max="16" width="11.00390625" style="0" customWidth="1"/>
    <col min="17" max="18" width="10.28125" style="0" customWidth="1"/>
    <col min="19" max="19" width="10.28125" style="66" customWidth="1"/>
  </cols>
  <sheetData>
    <row r="1" ht="12">
      <c r="A1" s="4" t="s">
        <v>0</v>
      </c>
    </row>
    <row r="2" spans="1:3" ht="12">
      <c r="A2" s="47" t="s">
        <v>66</v>
      </c>
      <c r="C2" s="48"/>
    </row>
    <row r="4" ht="12.75" thickBot="1"/>
    <row r="5" spans="1:23" ht="12">
      <c r="A5" s="44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71</v>
      </c>
      <c r="I5" s="9" t="s">
        <v>72</v>
      </c>
      <c r="J5" s="9" t="s">
        <v>73</v>
      </c>
      <c r="K5" s="9" t="s">
        <v>75</v>
      </c>
      <c r="L5" s="9" t="s">
        <v>76</v>
      </c>
      <c r="M5" s="9" t="s">
        <v>77</v>
      </c>
      <c r="N5" s="9" t="s">
        <v>83</v>
      </c>
      <c r="O5" s="9" t="s">
        <v>85</v>
      </c>
      <c r="P5" s="9" t="s">
        <v>87</v>
      </c>
      <c r="Q5" s="9" t="s">
        <v>90</v>
      </c>
      <c r="R5" s="9" t="s">
        <v>95</v>
      </c>
      <c r="S5" s="55" t="s">
        <v>100</v>
      </c>
      <c r="T5" s="55" t="s">
        <v>110</v>
      </c>
      <c r="U5" s="55" t="s">
        <v>111</v>
      </c>
      <c r="V5" s="55" t="s">
        <v>112</v>
      </c>
      <c r="W5" s="55" t="s">
        <v>116</v>
      </c>
    </row>
    <row r="6" spans="1:23" ht="12">
      <c r="A6" s="10" t="s">
        <v>7</v>
      </c>
      <c r="B6" s="24" t="s">
        <v>8</v>
      </c>
      <c r="C6" s="24" t="s">
        <v>8</v>
      </c>
      <c r="D6" s="24" t="s">
        <v>8</v>
      </c>
      <c r="E6" s="24" t="s">
        <v>8</v>
      </c>
      <c r="F6" s="24" t="s">
        <v>8</v>
      </c>
      <c r="G6" s="24" t="s">
        <v>8</v>
      </c>
      <c r="H6" s="24" t="s">
        <v>8</v>
      </c>
      <c r="I6" s="24" t="s">
        <v>8</v>
      </c>
      <c r="J6" s="24" t="s">
        <v>8</v>
      </c>
      <c r="K6" s="24" t="s">
        <v>8</v>
      </c>
      <c r="L6" s="24" t="s">
        <v>8</v>
      </c>
      <c r="M6" s="24" t="s">
        <v>8</v>
      </c>
      <c r="N6" s="24" t="s">
        <v>8</v>
      </c>
      <c r="O6" s="24" t="s">
        <v>8</v>
      </c>
      <c r="P6" s="24" t="s">
        <v>8</v>
      </c>
      <c r="Q6" s="24" t="s">
        <v>8</v>
      </c>
      <c r="R6" s="24" t="s">
        <v>8</v>
      </c>
      <c r="S6" s="62" t="s">
        <v>8</v>
      </c>
      <c r="T6" s="62" t="s">
        <v>8</v>
      </c>
      <c r="U6" s="62" t="s">
        <v>8</v>
      </c>
      <c r="V6" s="62" t="s">
        <v>8</v>
      </c>
      <c r="W6" s="62" t="s">
        <v>8</v>
      </c>
    </row>
    <row r="7" spans="1:23" ht="12">
      <c r="A7" s="4" t="s">
        <v>60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5"/>
      <c r="T7" s="15"/>
      <c r="U7" s="15"/>
      <c r="V7" s="15"/>
      <c r="W7" s="15"/>
    </row>
    <row r="8" spans="1:23" ht="12">
      <c r="A8" s="14" t="s">
        <v>61</v>
      </c>
      <c r="B8" s="25">
        <v>197613</v>
      </c>
      <c r="C8" s="25">
        <v>200618</v>
      </c>
      <c r="D8" s="25">
        <v>214061</v>
      </c>
      <c r="E8" s="25">
        <v>213915</v>
      </c>
      <c r="F8" s="25">
        <v>240011</v>
      </c>
      <c r="G8" s="25">
        <v>316808</v>
      </c>
      <c r="H8" s="25">
        <v>436516</v>
      </c>
      <c r="I8" s="25">
        <v>395574</v>
      </c>
      <c r="J8" s="25">
        <v>362899</v>
      </c>
      <c r="K8" s="25">
        <v>473234</v>
      </c>
      <c r="L8" s="25">
        <v>379582</v>
      </c>
      <c r="M8" s="25">
        <v>359473</v>
      </c>
      <c r="N8" s="25">
        <v>420338</v>
      </c>
      <c r="O8" s="25">
        <v>418524</v>
      </c>
      <c r="P8" s="25">
        <v>386409</v>
      </c>
      <c r="Q8" s="25">
        <v>319227.98</v>
      </c>
      <c r="R8" s="25">
        <v>292674.8528686247</v>
      </c>
      <c r="S8" s="51">
        <v>303756</v>
      </c>
      <c r="T8" s="51">
        <v>206469</v>
      </c>
      <c r="U8" s="51">
        <v>279046</v>
      </c>
      <c r="V8" s="51">
        <v>222045</v>
      </c>
      <c r="W8" s="51">
        <v>238391</v>
      </c>
    </row>
    <row r="9" spans="1:23" ht="12">
      <c r="A9" s="14" t="s">
        <v>62</v>
      </c>
      <c r="B9" s="25">
        <v>122522</v>
      </c>
      <c r="C9" s="25">
        <v>118084</v>
      </c>
      <c r="D9" s="25">
        <v>142150</v>
      </c>
      <c r="E9" s="25">
        <v>137358</v>
      </c>
      <c r="F9" s="25">
        <v>114820</v>
      </c>
      <c r="G9" s="25">
        <v>126837</v>
      </c>
      <c r="H9" s="25">
        <v>146782</v>
      </c>
      <c r="I9" s="25">
        <v>132299</v>
      </c>
      <c r="J9" s="25">
        <v>112734</v>
      </c>
      <c r="K9" s="25">
        <v>110503</v>
      </c>
      <c r="L9" s="25">
        <v>97516</v>
      </c>
      <c r="M9" s="25">
        <f>74654*0+74718</f>
        <v>74718</v>
      </c>
      <c r="N9" s="25">
        <v>80639</v>
      </c>
      <c r="O9" s="25">
        <v>84987</v>
      </c>
      <c r="P9" s="25">
        <v>85655</v>
      </c>
      <c r="Q9" s="25">
        <v>77231.75</v>
      </c>
      <c r="R9" s="25">
        <v>73315.19087885061</v>
      </c>
      <c r="S9" s="51">
        <v>131556</v>
      </c>
      <c r="T9" s="51">
        <v>194646</v>
      </c>
      <c r="U9" s="51">
        <v>203172</v>
      </c>
      <c r="V9" s="51">
        <v>103053</v>
      </c>
      <c r="W9" s="51">
        <v>84105</v>
      </c>
    </row>
    <row r="10" spans="1:23" ht="12">
      <c r="A10" s="14" t="s">
        <v>63</v>
      </c>
      <c r="B10" s="25">
        <v>3116</v>
      </c>
      <c r="C10" s="25">
        <v>1384</v>
      </c>
      <c r="D10" s="25">
        <v>1931</v>
      </c>
      <c r="E10" s="25">
        <v>6643</v>
      </c>
      <c r="F10" s="25">
        <v>8915</v>
      </c>
      <c r="G10" s="25">
        <v>6502</v>
      </c>
      <c r="H10" s="25">
        <v>9403</v>
      </c>
      <c r="I10" s="25">
        <v>10219</v>
      </c>
      <c r="J10" s="25">
        <v>9756</v>
      </c>
      <c r="K10" s="25">
        <v>7558</v>
      </c>
      <c r="L10" s="25">
        <v>6340</v>
      </c>
      <c r="M10" s="25">
        <f>5294*0+5230</f>
        <v>5230</v>
      </c>
      <c r="N10" s="25">
        <v>4784</v>
      </c>
      <c r="O10" s="25">
        <v>3402</v>
      </c>
      <c r="P10" s="25">
        <v>3161</v>
      </c>
      <c r="Q10" s="25">
        <v>3119.65</v>
      </c>
      <c r="R10" s="25">
        <v>3535.08780279674</v>
      </c>
      <c r="S10" s="51">
        <v>3101</v>
      </c>
      <c r="T10" s="51">
        <v>9558</v>
      </c>
      <c r="U10" s="51">
        <v>5592</v>
      </c>
      <c r="V10" s="51">
        <v>10782</v>
      </c>
      <c r="W10" s="51">
        <v>13519</v>
      </c>
    </row>
    <row r="11" spans="1:23" ht="12">
      <c r="A11" s="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51"/>
      <c r="T11" s="51"/>
      <c r="U11" s="51"/>
      <c r="V11" s="51"/>
      <c r="W11" s="51"/>
    </row>
    <row r="12" spans="1:23" ht="12.75" thickBot="1">
      <c r="A12" s="31" t="s">
        <v>64</v>
      </c>
      <c r="B12" s="45">
        <f aca="true" t="shared" si="0" ref="B12:I12">SUM(B8:B11)</f>
        <v>323251</v>
      </c>
      <c r="C12" s="45">
        <f t="shared" si="0"/>
        <v>320086</v>
      </c>
      <c r="D12" s="45">
        <f t="shared" si="0"/>
        <v>358142</v>
      </c>
      <c r="E12" s="45">
        <f t="shared" si="0"/>
        <v>357916</v>
      </c>
      <c r="F12" s="45">
        <f t="shared" si="0"/>
        <v>363746</v>
      </c>
      <c r="G12" s="45">
        <f t="shared" si="0"/>
        <v>450147</v>
      </c>
      <c r="H12" s="45">
        <f t="shared" si="0"/>
        <v>592701</v>
      </c>
      <c r="I12" s="45">
        <f t="shared" si="0"/>
        <v>538092</v>
      </c>
      <c r="J12" s="45">
        <f aca="true" t="shared" si="1" ref="J12:O12">SUM(J8:J11)</f>
        <v>485389</v>
      </c>
      <c r="K12" s="45">
        <f t="shared" si="1"/>
        <v>591295</v>
      </c>
      <c r="L12" s="45">
        <f t="shared" si="1"/>
        <v>483438</v>
      </c>
      <c r="M12" s="45">
        <f t="shared" si="1"/>
        <v>439421</v>
      </c>
      <c r="N12" s="45">
        <f t="shared" si="1"/>
        <v>505761</v>
      </c>
      <c r="O12" s="45">
        <f t="shared" si="1"/>
        <v>506913</v>
      </c>
      <c r="P12" s="45">
        <f>SUM(P8:P11)</f>
        <v>475225</v>
      </c>
      <c r="Q12" s="45">
        <v>399579.38</v>
      </c>
      <c r="R12" s="45">
        <f>SUM(R8:R10)</f>
        <v>369525.131550272</v>
      </c>
      <c r="S12" s="67">
        <f>SUM(S8:S10)</f>
        <v>438413</v>
      </c>
      <c r="T12" s="67">
        <f>SUM(T8:T10)</f>
        <v>410673</v>
      </c>
      <c r="U12" s="67">
        <f>SUM(U8:U10)</f>
        <v>487810</v>
      </c>
      <c r="V12" s="67">
        <f>SUM(V8:V10)</f>
        <v>335880</v>
      </c>
      <c r="W12" s="67">
        <f>SUM(W8:W10)</f>
        <v>336015</v>
      </c>
    </row>
    <row r="13" spans="1:23" ht="12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5"/>
      <c r="T13" s="69">
        <f>T12-'Income Statements'!T8</f>
        <v>0</v>
      </c>
      <c r="U13" s="69">
        <f>U12-'Income Statements'!U8</f>
        <v>0</v>
      </c>
      <c r="V13" s="69">
        <f>V12-'Income Statements'!V8</f>
        <v>0</v>
      </c>
      <c r="W13" s="69">
        <f>W12-'Income Statements'!W8</f>
        <v>0</v>
      </c>
    </row>
    <row r="14" spans="1:23" ht="12.75" thickBo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5"/>
      <c r="T14" s="15"/>
      <c r="U14" s="15"/>
      <c r="V14" s="15"/>
      <c r="W14" s="15"/>
    </row>
    <row r="15" spans="1:23" ht="12">
      <c r="A15" s="44"/>
      <c r="B15" s="9" t="s">
        <v>1</v>
      </c>
      <c r="C15" s="9" t="s">
        <v>2</v>
      </c>
      <c r="D15" s="9" t="s">
        <v>3</v>
      </c>
      <c r="E15" s="9" t="s">
        <v>4</v>
      </c>
      <c r="F15" s="9" t="s">
        <v>5</v>
      </c>
      <c r="G15" s="9" t="s">
        <v>6</v>
      </c>
      <c r="H15" s="9" t="s">
        <v>71</v>
      </c>
      <c r="I15" s="9" t="s">
        <v>72</v>
      </c>
      <c r="J15" s="9" t="s">
        <v>73</v>
      </c>
      <c r="K15" s="9" t="s">
        <v>75</v>
      </c>
      <c r="L15" s="9" t="s">
        <v>76</v>
      </c>
      <c r="M15" s="9" t="s">
        <v>77</v>
      </c>
      <c r="N15" s="9" t="s">
        <v>83</v>
      </c>
      <c r="O15" s="9" t="s">
        <v>83</v>
      </c>
      <c r="P15" s="9" t="s">
        <v>88</v>
      </c>
      <c r="Q15" s="9" t="s">
        <v>90</v>
      </c>
      <c r="R15" s="9" t="s">
        <v>96</v>
      </c>
      <c r="S15" s="55" t="s">
        <v>100</v>
      </c>
      <c r="T15" s="55" t="s">
        <v>110</v>
      </c>
      <c r="U15" s="55" t="s">
        <v>111</v>
      </c>
      <c r="V15" s="55" t="s">
        <v>112</v>
      </c>
      <c r="W15" s="55" t="s">
        <v>116</v>
      </c>
    </row>
    <row r="16" spans="1:23" ht="12">
      <c r="A16" s="10" t="s">
        <v>65</v>
      </c>
      <c r="B16" s="24" t="s">
        <v>8</v>
      </c>
      <c r="C16" s="24" t="s">
        <v>8</v>
      </c>
      <c r="D16" s="24" t="s">
        <v>8</v>
      </c>
      <c r="E16" s="24" t="s">
        <v>8</v>
      </c>
      <c r="F16" s="24" t="s">
        <v>8</v>
      </c>
      <c r="G16" s="24" t="s">
        <v>8</v>
      </c>
      <c r="H16" s="24" t="s">
        <v>8</v>
      </c>
      <c r="I16" s="24" t="s">
        <v>8</v>
      </c>
      <c r="J16" s="24" t="s">
        <v>8</v>
      </c>
      <c r="K16" s="24" t="s">
        <v>8</v>
      </c>
      <c r="L16" s="24" t="s">
        <v>8</v>
      </c>
      <c r="M16" s="24" t="s">
        <v>8</v>
      </c>
      <c r="N16" s="24" t="s">
        <v>8</v>
      </c>
      <c r="O16" s="24" t="s">
        <v>8</v>
      </c>
      <c r="P16" s="24" t="s">
        <v>8</v>
      </c>
      <c r="Q16" s="24" t="s">
        <v>8</v>
      </c>
      <c r="R16" s="24" t="s">
        <v>8</v>
      </c>
      <c r="S16" s="62" t="s">
        <v>8</v>
      </c>
      <c r="T16" s="62" t="s">
        <v>8</v>
      </c>
      <c r="U16" s="62" t="s">
        <v>8</v>
      </c>
      <c r="V16" s="62" t="s">
        <v>8</v>
      </c>
      <c r="W16" s="62" t="s">
        <v>8</v>
      </c>
    </row>
    <row r="17" spans="1:23" ht="12">
      <c r="A17" s="4" t="s">
        <v>60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/>
      <c r="T17" s="15"/>
      <c r="U17" s="15"/>
      <c r="V17" s="15"/>
      <c r="W17" s="15"/>
    </row>
    <row r="18" spans="1:23" ht="12">
      <c r="A18" s="14" t="s">
        <v>61</v>
      </c>
      <c r="B18" s="33">
        <f aca="true" t="shared" si="2" ref="B18:G20">B8/B$12</f>
        <v>0.6113298953444847</v>
      </c>
      <c r="C18" s="33">
        <f t="shared" si="2"/>
        <v>0.6267628074954856</v>
      </c>
      <c r="D18" s="33">
        <f t="shared" si="2"/>
        <v>0.5976986781779294</v>
      </c>
      <c r="E18" s="33">
        <f t="shared" si="2"/>
        <v>0.5976681679500218</v>
      </c>
      <c r="F18" s="33">
        <f t="shared" si="2"/>
        <v>0.6598313108597758</v>
      </c>
      <c r="G18" s="33">
        <f t="shared" si="2"/>
        <v>0.7037878737390231</v>
      </c>
      <c r="H18" s="33">
        <f aca="true" t="shared" si="3" ref="H18:I20">H8/H$12</f>
        <v>0.7364860190888829</v>
      </c>
      <c r="I18" s="33">
        <f t="shared" si="3"/>
        <v>0.7351419459869316</v>
      </c>
      <c r="J18" s="33">
        <f aca="true" t="shared" si="4" ref="J18:L20">J8/J$12</f>
        <v>0.7476457027250308</v>
      </c>
      <c r="K18" s="33">
        <f t="shared" si="4"/>
        <v>0.8003348582348913</v>
      </c>
      <c r="L18" s="33">
        <f t="shared" si="4"/>
        <v>0.7851720386068121</v>
      </c>
      <c r="M18" s="33">
        <f aca="true" t="shared" si="5" ref="M18:N20">M8/M$12</f>
        <v>0.8180605842688446</v>
      </c>
      <c r="N18" s="33">
        <f t="shared" si="5"/>
        <v>0.8311000650504883</v>
      </c>
      <c r="O18" s="33">
        <f aca="true" t="shared" si="6" ref="O18:P20">O8/O$12</f>
        <v>0.8256328008948282</v>
      </c>
      <c r="P18" s="33">
        <f t="shared" si="6"/>
        <v>0.8131074754063865</v>
      </c>
      <c r="Q18" s="33">
        <v>0.7989100438566173</v>
      </c>
      <c r="R18" s="33">
        <f aca="true" t="shared" si="7" ref="R18:S20">R8/R$12</f>
        <v>0.7920296290559814</v>
      </c>
      <c r="S18" s="59">
        <f t="shared" si="7"/>
        <v>0.6928535422079181</v>
      </c>
      <c r="T18" s="59">
        <f aca="true" t="shared" si="8" ref="T18:V19">T8/T$12</f>
        <v>0.5027576685099824</v>
      </c>
      <c r="U18" s="59">
        <f t="shared" si="8"/>
        <v>0.5720382935979172</v>
      </c>
      <c r="V18" s="59">
        <f t="shared" si="8"/>
        <v>0.661084315827081</v>
      </c>
      <c r="W18" s="59">
        <f>W8/W$12</f>
        <v>0.7094653512492002</v>
      </c>
    </row>
    <row r="19" spans="1:23" ht="12">
      <c r="A19" s="14" t="s">
        <v>62</v>
      </c>
      <c r="B19" s="33">
        <f t="shared" si="2"/>
        <v>0.37903053664180464</v>
      </c>
      <c r="C19" s="33">
        <f t="shared" si="2"/>
        <v>0.36891335453596846</v>
      </c>
      <c r="D19" s="33">
        <f t="shared" si="2"/>
        <v>0.3969096056871297</v>
      </c>
      <c r="E19" s="33">
        <f t="shared" si="2"/>
        <v>0.38377161121603953</v>
      </c>
      <c r="F19" s="33">
        <f t="shared" si="2"/>
        <v>0.31565982856168867</v>
      </c>
      <c r="G19" s="33">
        <f t="shared" si="2"/>
        <v>0.281767955801105</v>
      </c>
      <c r="H19" s="33">
        <f t="shared" si="3"/>
        <v>0.24764932065240314</v>
      </c>
      <c r="I19" s="33">
        <f t="shared" si="3"/>
        <v>0.24586687778298136</v>
      </c>
      <c r="J19" s="33">
        <f t="shared" si="4"/>
        <v>0.23225495427378864</v>
      </c>
      <c r="K19" s="33">
        <f t="shared" si="4"/>
        <v>0.18688302793022096</v>
      </c>
      <c r="L19" s="33">
        <f t="shared" si="4"/>
        <v>0.20171355996011897</v>
      </c>
      <c r="M19" s="33">
        <f t="shared" si="5"/>
        <v>0.170037390111078</v>
      </c>
      <c r="N19" s="33">
        <f t="shared" si="5"/>
        <v>0.15944092170017063</v>
      </c>
      <c r="O19" s="33">
        <f t="shared" si="6"/>
        <v>0.1676559883056856</v>
      </c>
      <c r="P19" s="33">
        <f t="shared" si="6"/>
        <v>0.18024093850281445</v>
      </c>
      <c r="Q19" s="33">
        <v>0.19328262134047056</v>
      </c>
      <c r="R19" s="33">
        <f t="shared" si="7"/>
        <v>0.19840380157980259</v>
      </c>
      <c r="S19" s="59">
        <f t="shared" si="7"/>
        <v>0.3000732186317468</v>
      </c>
      <c r="T19" s="59">
        <f t="shared" si="8"/>
        <v>0.4739683397739808</v>
      </c>
      <c r="U19" s="59">
        <f t="shared" si="8"/>
        <v>0.4164982267686189</v>
      </c>
      <c r="V19" s="59">
        <f t="shared" si="8"/>
        <v>0.30681493390496606</v>
      </c>
      <c r="W19" s="59">
        <f>W9/W$12</f>
        <v>0.25030132583366815</v>
      </c>
    </row>
    <row r="20" spans="1:23" ht="12">
      <c r="A20" s="14" t="s">
        <v>63</v>
      </c>
      <c r="B20" s="33">
        <f t="shared" si="2"/>
        <v>0.009639568013710707</v>
      </c>
      <c r="C20" s="33">
        <f t="shared" si="2"/>
        <v>0.004323837968545953</v>
      </c>
      <c r="D20" s="33">
        <f t="shared" si="2"/>
        <v>0.00539171613494089</v>
      </c>
      <c r="E20" s="33">
        <f t="shared" si="2"/>
        <v>0.01856022083393869</v>
      </c>
      <c r="F20" s="33">
        <f t="shared" si="2"/>
        <v>0.02450886057853557</v>
      </c>
      <c r="G20" s="33">
        <f t="shared" si="2"/>
        <v>0.014444170459871997</v>
      </c>
      <c r="H20" s="33">
        <f t="shared" si="3"/>
        <v>0.01586466025871392</v>
      </c>
      <c r="I20" s="33">
        <f t="shared" si="3"/>
        <v>0.01899117623008705</v>
      </c>
      <c r="J20" s="33">
        <f t="shared" si="4"/>
        <v>0.020099343001180495</v>
      </c>
      <c r="K20" s="33">
        <f t="shared" si="4"/>
        <v>0.01278211383488783</v>
      </c>
      <c r="L20" s="33">
        <f t="shared" si="4"/>
        <v>0.013114401433068976</v>
      </c>
      <c r="M20" s="33">
        <f t="shared" si="5"/>
        <v>0.01190202562007733</v>
      </c>
      <c r="N20" s="33">
        <f t="shared" si="5"/>
        <v>0.009459013249341092</v>
      </c>
      <c r="O20" s="33">
        <f t="shared" si="6"/>
        <v>0.006711210799486302</v>
      </c>
      <c r="P20" s="33">
        <f t="shared" si="6"/>
        <v>0.006651586090799095</v>
      </c>
      <c r="Q20" s="33">
        <v>0.0078073348029120025</v>
      </c>
      <c r="R20" s="33">
        <f t="shared" si="7"/>
        <v>0.009566569364216057</v>
      </c>
      <c r="S20" s="59">
        <f t="shared" si="7"/>
        <v>0.007073239160335118</v>
      </c>
      <c r="T20" s="59">
        <f>T10/T$12</f>
        <v>0.023273991716036845</v>
      </c>
      <c r="U20" s="59">
        <f>U10/U$12</f>
        <v>0.01146347963346385</v>
      </c>
      <c r="V20" s="59">
        <f>V10/V$12</f>
        <v>0.03210075026795284</v>
      </c>
      <c r="W20" s="59">
        <f>W10/W$12</f>
        <v>0.04023332291713168</v>
      </c>
    </row>
    <row r="21" spans="1:23" ht="12">
      <c r="A21" s="1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59"/>
      <c r="T21" s="59"/>
      <c r="U21" s="59"/>
      <c r="V21" s="59"/>
      <c r="W21" s="59"/>
    </row>
    <row r="22" spans="1:23" ht="12.75" thickBot="1">
      <c r="A22" s="31" t="s">
        <v>64</v>
      </c>
      <c r="B22" s="46">
        <f aca="true" t="shared" si="9" ref="B22:G22">SUM(B18:B20)</f>
        <v>1</v>
      </c>
      <c r="C22" s="46">
        <f t="shared" si="9"/>
        <v>1</v>
      </c>
      <c r="D22" s="46">
        <f t="shared" si="9"/>
        <v>1</v>
      </c>
      <c r="E22" s="46">
        <f t="shared" si="9"/>
        <v>1</v>
      </c>
      <c r="F22" s="46">
        <f t="shared" si="9"/>
        <v>1</v>
      </c>
      <c r="G22" s="46">
        <f t="shared" si="9"/>
        <v>1</v>
      </c>
      <c r="H22" s="46">
        <f aca="true" t="shared" si="10" ref="H22:M22">SUM(H18:H20)</f>
        <v>0.9999999999999999</v>
      </c>
      <c r="I22" s="46">
        <f t="shared" si="10"/>
        <v>1</v>
      </c>
      <c r="J22" s="46">
        <f t="shared" si="10"/>
        <v>1</v>
      </c>
      <c r="K22" s="46">
        <f t="shared" si="10"/>
        <v>1</v>
      </c>
      <c r="L22" s="46">
        <f t="shared" si="10"/>
        <v>1</v>
      </c>
      <c r="M22" s="46">
        <f t="shared" si="10"/>
        <v>1</v>
      </c>
      <c r="N22" s="46">
        <f>SUM(N18:N20)</f>
        <v>1</v>
      </c>
      <c r="O22" s="46">
        <f>SUM(O18:O20)</f>
        <v>1</v>
      </c>
      <c r="P22" s="46">
        <f>SUM(P18:P20)</f>
        <v>1</v>
      </c>
      <c r="Q22" s="46">
        <v>0.9999999999999999</v>
      </c>
      <c r="R22" s="46">
        <v>0.9999999999999999</v>
      </c>
      <c r="S22" s="68">
        <v>0.9999999999999999</v>
      </c>
      <c r="T22" s="68">
        <f>SUM(T18:T20)</f>
        <v>1</v>
      </c>
      <c r="U22" s="68">
        <f>SUM(U18:U20)</f>
        <v>1</v>
      </c>
      <c r="V22" s="68">
        <f>SUM(V18:V20)</f>
        <v>1</v>
      </c>
      <c r="W22" s="68">
        <f>SUM(W18:W20)</f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张蓝天lantian.zhang</cp:lastModifiedBy>
  <cp:lastPrinted>2017-03-30T06:48:02Z</cp:lastPrinted>
  <dcterms:created xsi:type="dcterms:W3CDTF">2004-07-28T16:23:45Z</dcterms:created>
  <dcterms:modified xsi:type="dcterms:W3CDTF">2024-05-10T05:28:28Z</dcterms:modified>
  <cp:category/>
  <cp:version/>
  <cp:contentType/>
  <cp:contentStatus/>
</cp:coreProperties>
</file>